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5480" windowHeight="11640" activeTab="6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  <sheet name="Hoja7" sheetId="7" r:id="rId7"/>
  </sheets>
  <definedNames>
    <definedName name="_xlnm.Print_Area" localSheetId="2">Hoja3!$B$1:$O$48</definedName>
  </definedNames>
  <calcPr calcId="125725"/>
</workbook>
</file>

<file path=xl/calcChain.xml><?xml version="1.0" encoding="utf-8"?>
<calcChain xmlns="http://schemas.openxmlformats.org/spreadsheetml/2006/main">
  <c r="E52" i="7"/>
  <c r="D52"/>
  <c r="J55"/>
  <c r="I55"/>
  <c r="H55"/>
  <c r="J54"/>
  <c r="I54"/>
  <c r="G54"/>
  <c r="I52"/>
  <c r="J52"/>
  <c r="E51"/>
  <c r="F51"/>
  <c r="G51"/>
  <c r="H51"/>
  <c r="I51"/>
  <c r="J51"/>
  <c r="D51"/>
  <c r="E50"/>
  <c r="F50"/>
  <c r="G50"/>
  <c r="H50"/>
  <c r="I50"/>
  <c r="J50"/>
  <c r="D50"/>
  <c r="E49"/>
  <c r="F49"/>
  <c r="G49"/>
  <c r="H49"/>
  <c r="I49"/>
  <c r="J49"/>
  <c r="D49"/>
  <c r="E48"/>
  <c r="F48"/>
  <c r="G48"/>
  <c r="H48"/>
  <c r="I48"/>
  <c r="J48"/>
  <c r="D48"/>
  <c r="E47"/>
  <c r="F47"/>
  <c r="G47" s="1"/>
  <c r="H47" s="1"/>
  <c r="I47" s="1"/>
  <c r="J47" s="1"/>
  <c r="D46"/>
  <c r="E46"/>
  <c r="F46"/>
  <c r="G46"/>
  <c r="H46"/>
  <c r="I46"/>
  <c r="J46"/>
  <c r="E45"/>
  <c r="F45"/>
  <c r="G45"/>
  <c r="H45"/>
  <c r="I45"/>
  <c r="J45"/>
  <c r="D45"/>
  <c r="F65"/>
  <c r="E65"/>
  <c r="D65"/>
  <c r="E66"/>
  <c r="F66"/>
  <c r="G66"/>
  <c r="H66"/>
  <c r="I66"/>
  <c r="J66"/>
  <c r="F63"/>
  <c r="G63"/>
  <c r="H63" s="1"/>
  <c r="I63" s="1"/>
  <c r="E63"/>
  <c r="D61"/>
  <c r="E61"/>
  <c r="F61" s="1"/>
  <c r="G61" s="1"/>
  <c r="H61" s="1"/>
  <c r="I61" s="1"/>
  <c r="J61" s="1"/>
  <c r="F64"/>
  <c r="G64"/>
  <c r="H64" s="1"/>
  <c r="I64" s="1"/>
  <c r="J64" s="1"/>
  <c r="E64"/>
  <c r="C59"/>
  <c r="E44"/>
  <c r="F44"/>
  <c r="G44"/>
  <c r="H44"/>
  <c r="I44"/>
  <c r="J44"/>
  <c r="D44"/>
  <c r="E43"/>
  <c r="F43"/>
  <c r="G43" s="1"/>
  <c r="H43" s="1"/>
  <c r="I43" s="1"/>
  <c r="J43" s="1"/>
  <c r="E42"/>
  <c r="F42"/>
  <c r="G42"/>
  <c r="H42"/>
  <c r="I42"/>
  <c r="J42"/>
  <c r="D42"/>
  <c r="E41"/>
  <c r="F41"/>
  <c r="G41"/>
  <c r="H41"/>
  <c r="I41"/>
  <c r="J41"/>
  <c r="D41"/>
  <c r="E40"/>
  <c r="F40"/>
  <c r="G40" s="1"/>
  <c r="H40" s="1"/>
  <c r="I40" s="1"/>
  <c r="J40" s="1"/>
  <c r="E39"/>
  <c r="F39"/>
  <c r="G39" s="1"/>
  <c r="H39" s="1"/>
  <c r="I39" s="1"/>
  <c r="J39" s="1"/>
  <c r="D38"/>
  <c r="E38"/>
  <c r="F38"/>
  <c r="G38"/>
  <c r="H38"/>
  <c r="I38"/>
  <c r="J38"/>
  <c r="H22"/>
  <c r="I22"/>
  <c r="J22" s="1"/>
  <c r="H23"/>
  <c r="I23"/>
  <c r="J23" s="1"/>
  <c r="H21"/>
  <c r="I21"/>
  <c r="J21" s="1"/>
  <c r="C52"/>
  <c r="C66"/>
  <c r="C61"/>
  <c r="C60"/>
  <c r="C63" s="1"/>
  <c r="D54"/>
  <c r="E54" s="1"/>
  <c r="F54" s="1"/>
  <c r="H54" s="1"/>
  <c r="D43"/>
  <c r="D25"/>
  <c r="D55" s="1"/>
  <c r="D23"/>
  <c r="E23" s="1"/>
  <c r="F23" s="1"/>
  <c r="G23" s="1"/>
  <c r="C13"/>
  <c r="C12"/>
  <c r="D21"/>
  <c r="D54" i="6"/>
  <c r="E54" s="1"/>
  <c r="F54" s="1"/>
  <c r="G54" s="1"/>
  <c r="H54" s="1"/>
  <c r="C59"/>
  <c r="E64" s="1"/>
  <c r="C66"/>
  <c r="F64"/>
  <c r="D64"/>
  <c r="C61"/>
  <c r="C60"/>
  <c r="D47"/>
  <c r="E47" s="1"/>
  <c r="F47" s="1"/>
  <c r="G47" s="1"/>
  <c r="H47" s="1"/>
  <c r="D43"/>
  <c r="E43" s="1"/>
  <c r="F43" s="1"/>
  <c r="G43" s="1"/>
  <c r="D34"/>
  <c r="C12"/>
  <c r="C13" s="1"/>
  <c r="C26"/>
  <c r="D23"/>
  <c r="I7"/>
  <c r="D21" s="1"/>
  <c r="D40" s="1"/>
  <c r="E40" s="1"/>
  <c r="F40" s="1"/>
  <c r="G40" s="1"/>
  <c r="H40" s="1"/>
  <c r="C25"/>
  <c r="N62" i="5"/>
  <c r="O46"/>
  <c r="C70"/>
  <c r="C59"/>
  <c r="C34"/>
  <c r="D34" s="1"/>
  <c r="E34" s="1"/>
  <c r="F34" s="1"/>
  <c r="G34" s="1"/>
  <c r="H34" s="1"/>
  <c r="I34" s="1"/>
  <c r="J34" s="1"/>
  <c r="K34" s="1"/>
  <c r="L34" s="1"/>
  <c r="M34" s="1"/>
  <c r="N34" s="1"/>
  <c r="O34" s="1"/>
  <c r="C33"/>
  <c r="D33" s="1"/>
  <c r="E33" s="1"/>
  <c r="F33" s="1"/>
  <c r="G33" s="1"/>
  <c r="H33" s="1"/>
  <c r="I33" s="1"/>
  <c r="J33" s="1"/>
  <c r="K33" s="1"/>
  <c r="L33" s="1"/>
  <c r="M33" s="1"/>
  <c r="N33" s="1"/>
  <c r="O33" s="1"/>
  <c r="C32"/>
  <c r="O32" s="1"/>
  <c r="D30"/>
  <c r="N30" s="1"/>
  <c r="C22"/>
  <c r="C26" s="1"/>
  <c r="O20"/>
  <c r="N20"/>
  <c r="M20"/>
  <c r="L20"/>
  <c r="K20"/>
  <c r="J20"/>
  <c r="I20"/>
  <c r="H20"/>
  <c r="G20"/>
  <c r="F20"/>
  <c r="E20"/>
  <c r="D20"/>
  <c r="O18"/>
  <c r="O19" s="1"/>
  <c r="N18"/>
  <c r="N29" s="1"/>
  <c r="M18"/>
  <c r="M19" s="1"/>
  <c r="L18"/>
  <c r="L29" s="1"/>
  <c r="K18"/>
  <c r="K19" s="1"/>
  <c r="J18"/>
  <c r="J29" s="1"/>
  <c r="I18"/>
  <c r="I19" s="1"/>
  <c r="H18"/>
  <c r="H29" s="1"/>
  <c r="G18"/>
  <c r="G19" s="1"/>
  <c r="F18"/>
  <c r="F29" s="1"/>
  <c r="E18"/>
  <c r="E19" s="1"/>
  <c r="D18"/>
  <c r="D29" s="1"/>
  <c r="D31" s="1"/>
  <c r="D31" i="4"/>
  <c r="E31" s="1"/>
  <c r="F31" s="1"/>
  <c r="G31" s="1"/>
  <c r="H31" s="1"/>
  <c r="I31" s="1"/>
  <c r="J31" s="1"/>
  <c r="K31" s="1"/>
  <c r="L31" s="1"/>
  <c r="M31" s="1"/>
  <c r="N31" s="1"/>
  <c r="O31" s="1"/>
  <c r="C31"/>
  <c r="C30"/>
  <c r="D30" s="1"/>
  <c r="E30" s="1"/>
  <c r="F30" s="1"/>
  <c r="G30" s="1"/>
  <c r="H30" s="1"/>
  <c r="I30" s="1"/>
  <c r="J30" s="1"/>
  <c r="K30" s="1"/>
  <c r="L30" s="1"/>
  <c r="M30" s="1"/>
  <c r="N30" s="1"/>
  <c r="O30" s="1"/>
  <c r="L29"/>
  <c r="J29"/>
  <c r="J32" s="1"/>
  <c r="H29"/>
  <c r="F29"/>
  <c r="F32" s="1"/>
  <c r="C23" s="1"/>
  <c r="D29"/>
  <c r="D32" s="1"/>
  <c r="C29"/>
  <c r="O29" s="1"/>
  <c r="O32" s="1"/>
  <c r="D27"/>
  <c r="N27" s="1"/>
  <c r="C22"/>
  <c r="O34" s="1"/>
  <c r="O20"/>
  <c r="N20"/>
  <c r="M20"/>
  <c r="L20"/>
  <c r="K20"/>
  <c r="J20"/>
  <c r="I20"/>
  <c r="H20"/>
  <c r="G20"/>
  <c r="F20"/>
  <c r="E20"/>
  <c r="D20"/>
  <c r="O18"/>
  <c r="O19" s="1"/>
  <c r="N18"/>
  <c r="N26" s="1"/>
  <c r="N28" s="1"/>
  <c r="M18"/>
  <c r="M19" s="1"/>
  <c r="L18"/>
  <c r="L26" s="1"/>
  <c r="K18"/>
  <c r="K19" s="1"/>
  <c r="J18"/>
  <c r="J26" s="1"/>
  <c r="I18"/>
  <c r="I19" s="1"/>
  <c r="H18"/>
  <c r="H26" s="1"/>
  <c r="G18"/>
  <c r="G19" s="1"/>
  <c r="F18"/>
  <c r="F26" s="1"/>
  <c r="E18"/>
  <c r="E19" s="1"/>
  <c r="D18"/>
  <c r="D26" s="1"/>
  <c r="D28" s="1"/>
  <c r="D33" s="1"/>
  <c r="O41" i="3"/>
  <c r="O24"/>
  <c r="O23"/>
  <c r="C23"/>
  <c r="E49" i="1"/>
  <c r="E48"/>
  <c r="D48" i="3"/>
  <c r="E44"/>
  <c r="F44"/>
  <c r="G44"/>
  <c r="H44"/>
  <c r="I44"/>
  <c r="J44"/>
  <c r="K44"/>
  <c r="L44"/>
  <c r="M44"/>
  <c r="N44"/>
  <c r="O44"/>
  <c r="E41"/>
  <c r="F41"/>
  <c r="G41"/>
  <c r="H41"/>
  <c r="I41"/>
  <c r="J41"/>
  <c r="K41"/>
  <c r="L41"/>
  <c r="M41"/>
  <c r="N41"/>
  <c r="E39"/>
  <c r="F39"/>
  <c r="G39"/>
  <c r="H39"/>
  <c r="I39"/>
  <c r="J39"/>
  <c r="K39"/>
  <c r="L39"/>
  <c r="M39"/>
  <c r="N39"/>
  <c r="O39"/>
  <c r="O38"/>
  <c r="N38"/>
  <c r="M38"/>
  <c r="L38"/>
  <c r="K38"/>
  <c r="J38"/>
  <c r="I38"/>
  <c r="H38"/>
  <c r="G38"/>
  <c r="F38"/>
  <c r="E38"/>
  <c r="E36"/>
  <c r="F36"/>
  <c r="G36"/>
  <c r="H36"/>
  <c r="I36"/>
  <c r="J36"/>
  <c r="K36"/>
  <c r="L36"/>
  <c r="M36"/>
  <c r="N36"/>
  <c r="O36"/>
  <c r="D36"/>
  <c r="E35"/>
  <c r="F35"/>
  <c r="G35"/>
  <c r="H35"/>
  <c r="I35"/>
  <c r="J35"/>
  <c r="K35"/>
  <c r="L35"/>
  <c r="M35"/>
  <c r="N35"/>
  <c r="O35"/>
  <c r="D35"/>
  <c r="F34"/>
  <c r="E34"/>
  <c r="D34"/>
  <c r="O34"/>
  <c r="N34"/>
  <c r="M34"/>
  <c r="L34"/>
  <c r="K34"/>
  <c r="J34"/>
  <c r="I34"/>
  <c r="H34"/>
  <c r="G34"/>
  <c r="E33"/>
  <c r="F33"/>
  <c r="G33"/>
  <c r="H33"/>
  <c r="I33"/>
  <c r="J33"/>
  <c r="K33"/>
  <c r="L33"/>
  <c r="M33"/>
  <c r="N33"/>
  <c r="O33"/>
  <c r="E32"/>
  <c r="F32"/>
  <c r="G32"/>
  <c r="H32"/>
  <c r="I32"/>
  <c r="J32"/>
  <c r="K32"/>
  <c r="L32"/>
  <c r="M32"/>
  <c r="N32"/>
  <c r="O32"/>
  <c r="D30"/>
  <c r="E30" s="1"/>
  <c r="F30" s="1"/>
  <c r="G30" s="1"/>
  <c r="H30" s="1"/>
  <c r="I30" s="1"/>
  <c r="J30" s="1"/>
  <c r="K30" s="1"/>
  <c r="L30" s="1"/>
  <c r="M30" s="1"/>
  <c r="N30" s="1"/>
  <c r="O30" s="1"/>
  <c r="D31"/>
  <c r="E31" s="1"/>
  <c r="F31" s="1"/>
  <c r="G31" s="1"/>
  <c r="H31" s="1"/>
  <c r="I31" s="1"/>
  <c r="J31" s="1"/>
  <c r="K31" s="1"/>
  <c r="L31" s="1"/>
  <c r="M31" s="1"/>
  <c r="N31" s="1"/>
  <c r="O31" s="1"/>
  <c r="O29"/>
  <c r="N29"/>
  <c r="M29"/>
  <c r="L29"/>
  <c r="K29"/>
  <c r="J29"/>
  <c r="I29"/>
  <c r="H29"/>
  <c r="G29"/>
  <c r="F29"/>
  <c r="E29"/>
  <c r="D29"/>
  <c r="C29"/>
  <c r="J28"/>
  <c r="K28"/>
  <c r="L28"/>
  <c r="M28"/>
  <c r="N28"/>
  <c r="O28"/>
  <c r="I28"/>
  <c r="E28"/>
  <c r="F28"/>
  <c r="G28"/>
  <c r="H28"/>
  <c r="O27"/>
  <c r="N27"/>
  <c r="M27"/>
  <c r="L27"/>
  <c r="K27"/>
  <c r="J27"/>
  <c r="O18"/>
  <c r="O26" s="1"/>
  <c r="N18"/>
  <c r="N26" s="1"/>
  <c r="M18"/>
  <c r="M26" s="1"/>
  <c r="L18"/>
  <c r="L26" s="1"/>
  <c r="K18"/>
  <c r="K26" s="1"/>
  <c r="J18"/>
  <c r="J26" s="1"/>
  <c r="I18"/>
  <c r="I26" s="1"/>
  <c r="H18"/>
  <c r="H26" s="1"/>
  <c r="G18"/>
  <c r="G26" s="1"/>
  <c r="F18"/>
  <c r="F26" s="1"/>
  <c r="E18"/>
  <c r="E26" s="1"/>
  <c r="D18"/>
  <c r="D26" s="1"/>
  <c r="O20"/>
  <c r="N20"/>
  <c r="M20"/>
  <c r="L20"/>
  <c r="K20"/>
  <c r="J20"/>
  <c r="I20"/>
  <c r="H20"/>
  <c r="G20"/>
  <c r="E20"/>
  <c r="F20"/>
  <c r="D20"/>
  <c r="D19" s="1"/>
  <c r="C31"/>
  <c r="C30"/>
  <c r="C22"/>
  <c r="D27"/>
  <c r="E27" s="1"/>
  <c r="O19"/>
  <c r="N19"/>
  <c r="M19"/>
  <c r="L19"/>
  <c r="K19"/>
  <c r="J19"/>
  <c r="I19"/>
  <c r="H19"/>
  <c r="G19"/>
  <c r="F19"/>
  <c r="E19"/>
  <c r="C24"/>
  <c r="C44" s="1"/>
  <c r="D47" s="1"/>
  <c r="D147" i="2"/>
  <c r="H144"/>
  <c r="E144"/>
  <c r="F144"/>
  <c r="G144"/>
  <c r="D144"/>
  <c r="E131"/>
  <c r="F131"/>
  <c r="F134" s="1"/>
  <c r="G131"/>
  <c r="H131"/>
  <c r="H135" s="1"/>
  <c r="D131"/>
  <c r="C144"/>
  <c r="C122"/>
  <c r="E135"/>
  <c r="E137" s="1"/>
  <c r="H134"/>
  <c r="E134"/>
  <c r="G134"/>
  <c r="D109"/>
  <c r="H106"/>
  <c r="H93"/>
  <c r="G93"/>
  <c r="G96" s="1"/>
  <c r="F93"/>
  <c r="F96" s="1"/>
  <c r="E93"/>
  <c r="E96" s="1"/>
  <c r="D106"/>
  <c r="D93"/>
  <c r="C106"/>
  <c r="D96"/>
  <c r="C84"/>
  <c r="H59"/>
  <c r="F59"/>
  <c r="D59"/>
  <c r="H56"/>
  <c r="H60" s="1"/>
  <c r="G56"/>
  <c r="G59" s="1"/>
  <c r="F56"/>
  <c r="E56"/>
  <c r="E59" s="1"/>
  <c r="D56"/>
  <c r="C50"/>
  <c r="C47"/>
  <c r="C69" s="1"/>
  <c r="D35"/>
  <c r="D34"/>
  <c r="H31"/>
  <c r="H18"/>
  <c r="H21" s="1"/>
  <c r="G18"/>
  <c r="G21" s="1"/>
  <c r="F18"/>
  <c r="F21" s="1"/>
  <c r="E21"/>
  <c r="E18"/>
  <c r="E22" s="1"/>
  <c r="D31"/>
  <c r="D27"/>
  <c r="D25"/>
  <c r="D24"/>
  <c r="D22"/>
  <c r="D21"/>
  <c r="D18"/>
  <c r="C31"/>
  <c r="C9"/>
  <c r="C12" s="1"/>
  <c r="K33" i="1"/>
  <c r="E33"/>
  <c r="K32"/>
  <c r="E32"/>
  <c r="E6"/>
  <c r="P6"/>
  <c r="U6"/>
  <c r="U5"/>
  <c r="P5"/>
  <c r="K6"/>
  <c r="K5"/>
  <c r="E5"/>
  <c r="J63" i="7" l="1"/>
  <c r="J65" s="1"/>
  <c r="I65"/>
  <c r="C14"/>
  <c r="D39"/>
  <c r="D22"/>
  <c r="E21"/>
  <c r="D63"/>
  <c r="C14" i="6"/>
  <c r="D37"/>
  <c r="E37" s="1"/>
  <c r="F37" s="1"/>
  <c r="G37" s="1"/>
  <c r="H37" s="1"/>
  <c r="D33"/>
  <c r="D39"/>
  <c r="E39" s="1"/>
  <c r="F39" s="1"/>
  <c r="G39" s="1"/>
  <c r="H39" s="1"/>
  <c r="D22"/>
  <c r="D36" s="1"/>
  <c r="D38" s="1"/>
  <c r="D41" s="1"/>
  <c r="E23"/>
  <c r="F23" s="1"/>
  <c r="G23" s="1"/>
  <c r="H23" s="1"/>
  <c r="D35"/>
  <c r="E21"/>
  <c r="E22" s="1"/>
  <c r="E36" s="1"/>
  <c r="E38" s="1"/>
  <c r="E41" s="1"/>
  <c r="F34"/>
  <c r="H34"/>
  <c r="E34"/>
  <c r="G34"/>
  <c r="C25" i="5"/>
  <c r="C27" s="1"/>
  <c r="H32"/>
  <c r="D32"/>
  <c r="L32"/>
  <c r="L35" s="1"/>
  <c r="D35"/>
  <c r="H35"/>
  <c r="D36"/>
  <c r="O37"/>
  <c r="F32"/>
  <c r="J32"/>
  <c r="J35" s="1"/>
  <c r="N32"/>
  <c r="N31"/>
  <c r="O35"/>
  <c r="F35"/>
  <c r="C23" s="1"/>
  <c r="C69" s="1"/>
  <c r="F73" s="1"/>
  <c r="N35"/>
  <c r="D19"/>
  <c r="F19"/>
  <c r="H19"/>
  <c r="J19"/>
  <c r="L19"/>
  <c r="N19"/>
  <c r="E29"/>
  <c r="G29"/>
  <c r="I29"/>
  <c r="K29"/>
  <c r="M29"/>
  <c r="O29"/>
  <c r="E30"/>
  <c r="G30"/>
  <c r="I30"/>
  <c r="K30"/>
  <c r="M30"/>
  <c r="O30"/>
  <c r="D37"/>
  <c r="F37"/>
  <c r="H37"/>
  <c r="J37"/>
  <c r="L37"/>
  <c r="N37"/>
  <c r="C24"/>
  <c r="C50" s="1"/>
  <c r="F30"/>
  <c r="F31" s="1"/>
  <c r="F36" s="1"/>
  <c r="H30"/>
  <c r="H31" s="1"/>
  <c r="H36" s="1"/>
  <c r="J30"/>
  <c r="J31" s="1"/>
  <c r="L30"/>
  <c r="L31" s="1"/>
  <c r="E32"/>
  <c r="E35" s="1"/>
  <c r="G32"/>
  <c r="G35" s="1"/>
  <c r="I32"/>
  <c r="I35" s="1"/>
  <c r="K32"/>
  <c r="K35" s="1"/>
  <c r="M32"/>
  <c r="M35" s="1"/>
  <c r="E37"/>
  <c r="G37"/>
  <c r="I37"/>
  <c r="K37"/>
  <c r="M37"/>
  <c r="O24" i="4"/>
  <c r="O23"/>
  <c r="H32"/>
  <c r="L32"/>
  <c r="D19"/>
  <c r="F19"/>
  <c r="H19"/>
  <c r="J19"/>
  <c r="L19"/>
  <c r="N19"/>
  <c r="E26"/>
  <c r="G26"/>
  <c r="I26"/>
  <c r="K26"/>
  <c r="M26"/>
  <c r="O26"/>
  <c r="E27"/>
  <c r="G27"/>
  <c r="I27"/>
  <c r="K27"/>
  <c r="M27"/>
  <c r="O27"/>
  <c r="N29"/>
  <c r="N32" s="1"/>
  <c r="N33" s="1"/>
  <c r="D34"/>
  <c r="F34"/>
  <c r="H34"/>
  <c r="J34"/>
  <c r="L34"/>
  <c r="N34"/>
  <c r="C24"/>
  <c r="C44" s="1"/>
  <c r="F27"/>
  <c r="F28" s="1"/>
  <c r="F33" s="1"/>
  <c r="H27"/>
  <c r="H28" s="1"/>
  <c r="H33" s="1"/>
  <c r="J27"/>
  <c r="J28" s="1"/>
  <c r="J33" s="1"/>
  <c r="L27"/>
  <c r="L28" s="1"/>
  <c r="L33" s="1"/>
  <c r="E29"/>
  <c r="E32" s="1"/>
  <c r="G29"/>
  <c r="G32" s="1"/>
  <c r="I29"/>
  <c r="I32" s="1"/>
  <c r="K29"/>
  <c r="K32" s="1"/>
  <c r="M29"/>
  <c r="M32" s="1"/>
  <c r="E34"/>
  <c r="G34"/>
  <c r="I34"/>
  <c r="K34"/>
  <c r="M34"/>
  <c r="G27" i="3"/>
  <c r="I27"/>
  <c r="F27"/>
  <c r="H27"/>
  <c r="D28"/>
  <c r="D32"/>
  <c r="H137" i="2"/>
  <c r="H138" s="1"/>
  <c r="H140" s="1"/>
  <c r="F135"/>
  <c r="F137" s="1"/>
  <c r="F138" s="1"/>
  <c r="F140" s="1"/>
  <c r="D134"/>
  <c r="D135" s="1"/>
  <c r="E140"/>
  <c r="G135"/>
  <c r="E138"/>
  <c r="H96"/>
  <c r="H97" s="1"/>
  <c r="G97"/>
  <c r="F97"/>
  <c r="F100" s="1"/>
  <c r="F102" s="1"/>
  <c r="F106" s="1"/>
  <c r="F99"/>
  <c r="E97"/>
  <c r="D97"/>
  <c r="D60"/>
  <c r="D62"/>
  <c r="D63" s="1"/>
  <c r="D65" s="1"/>
  <c r="D69" s="1"/>
  <c r="H62"/>
  <c r="H63" s="1"/>
  <c r="H65" s="1"/>
  <c r="H69" s="1"/>
  <c r="G60"/>
  <c r="F60"/>
  <c r="E60"/>
  <c r="H22"/>
  <c r="G22"/>
  <c r="F22"/>
  <c r="E24"/>
  <c r="E25"/>
  <c r="E27" s="1"/>
  <c r="E31" s="1"/>
  <c r="E22" i="7" l="1"/>
  <c r="F21"/>
  <c r="D42" i="6"/>
  <c r="D44" s="1"/>
  <c r="F21"/>
  <c r="E33"/>
  <c r="E35" s="1"/>
  <c r="E42" s="1"/>
  <c r="E44" s="1"/>
  <c r="D72" i="5"/>
  <c r="E74" s="1"/>
  <c r="E75" s="1"/>
  <c r="C72"/>
  <c r="E72"/>
  <c r="F74" s="1"/>
  <c r="F75" s="1"/>
  <c r="F41" s="1"/>
  <c r="C75"/>
  <c r="D74"/>
  <c r="D75" s="1"/>
  <c r="F72"/>
  <c r="G73"/>
  <c r="H73" s="1"/>
  <c r="I73" s="1"/>
  <c r="C64"/>
  <c r="C58"/>
  <c r="E63" s="1"/>
  <c r="O41"/>
  <c r="M41"/>
  <c r="K41"/>
  <c r="N41"/>
  <c r="L41"/>
  <c r="F62"/>
  <c r="E61"/>
  <c r="F63" s="1"/>
  <c r="C61"/>
  <c r="D61"/>
  <c r="J36"/>
  <c r="J38" s="1"/>
  <c r="J39" s="1"/>
  <c r="L36"/>
  <c r="D63"/>
  <c r="F38"/>
  <c r="F39" s="1"/>
  <c r="L38"/>
  <c r="L39" s="1"/>
  <c r="L42" s="1"/>
  <c r="H38"/>
  <c r="H39" s="1"/>
  <c r="M31"/>
  <c r="M36" s="1"/>
  <c r="I31"/>
  <c r="I36" s="1"/>
  <c r="E31"/>
  <c r="E36" s="1"/>
  <c r="N36"/>
  <c r="O24"/>
  <c r="O23"/>
  <c r="O31"/>
  <c r="O36" s="1"/>
  <c r="K31"/>
  <c r="K36" s="1"/>
  <c r="G31"/>
  <c r="G36" s="1"/>
  <c r="D38"/>
  <c r="D39" s="1"/>
  <c r="F35" i="4"/>
  <c r="F36" s="1"/>
  <c r="N35"/>
  <c r="N36" s="1"/>
  <c r="J35"/>
  <c r="J36" s="1"/>
  <c r="L35"/>
  <c r="L36" s="1"/>
  <c r="H35"/>
  <c r="H36" s="1"/>
  <c r="M28"/>
  <c r="M33" s="1"/>
  <c r="I28"/>
  <c r="I33" s="1"/>
  <c r="E28"/>
  <c r="E33" s="1"/>
  <c r="O28"/>
  <c r="O33" s="1"/>
  <c r="K28"/>
  <c r="K33" s="1"/>
  <c r="G28"/>
  <c r="G33" s="1"/>
  <c r="D35"/>
  <c r="D33" i="3"/>
  <c r="D38" s="1"/>
  <c r="D39" s="1"/>
  <c r="D41" s="1"/>
  <c r="D44" s="1"/>
  <c r="D137" i="2"/>
  <c r="D138" s="1"/>
  <c r="D140" s="1"/>
  <c r="G138"/>
  <c r="G140" s="1"/>
  <c r="G137"/>
  <c r="H99"/>
  <c r="H100" s="1"/>
  <c r="H102" s="1"/>
  <c r="G99"/>
  <c r="G100" s="1"/>
  <c r="G102" s="1"/>
  <c r="G106" s="1"/>
  <c r="E99"/>
  <c r="E100" s="1"/>
  <c r="E102" s="1"/>
  <c r="E106" s="1"/>
  <c r="D99"/>
  <c r="D100" s="1"/>
  <c r="D102" s="1"/>
  <c r="G62"/>
  <c r="G63"/>
  <c r="G65" s="1"/>
  <c r="G69" s="1"/>
  <c r="E62"/>
  <c r="E63" s="1"/>
  <c r="E65" s="1"/>
  <c r="E69" s="1"/>
  <c r="F63"/>
  <c r="F65" s="1"/>
  <c r="F69" s="1"/>
  <c r="F62"/>
  <c r="H24"/>
  <c r="H25" s="1"/>
  <c r="H27" s="1"/>
  <c r="G24"/>
  <c r="G25" s="1"/>
  <c r="G27" s="1"/>
  <c r="G31" s="1"/>
  <c r="F24"/>
  <c r="F25"/>
  <c r="F27" s="1"/>
  <c r="F31" s="1"/>
  <c r="D66" i="7" l="1"/>
  <c r="F22"/>
  <c r="G21"/>
  <c r="G21" i="6"/>
  <c r="F33"/>
  <c r="F35" s="1"/>
  <c r="F22"/>
  <c r="F36" s="1"/>
  <c r="F38" s="1"/>
  <c r="F41" s="1"/>
  <c r="C63"/>
  <c r="D63"/>
  <c r="L43" i="5"/>
  <c r="L44" s="1"/>
  <c r="L46" s="1"/>
  <c r="L50" s="1"/>
  <c r="D41"/>
  <c r="D42" s="1"/>
  <c r="D43" s="1"/>
  <c r="D44" s="1"/>
  <c r="E41"/>
  <c r="J73"/>
  <c r="F42"/>
  <c r="F43" s="1"/>
  <c r="F44" s="1"/>
  <c r="F46" s="1"/>
  <c r="G74"/>
  <c r="G72"/>
  <c r="H74" s="1"/>
  <c r="H75" s="1"/>
  <c r="G75"/>
  <c r="E64"/>
  <c r="F61"/>
  <c r="F47"/>
  <c r="G62"/>
  <c r="D64"/>
  <c r="G38"/>
  <c r="D46"/>
  <c r="D50" s="1"/>
  <c r="E38"/>
  <c r="M38"/>
  <c r="O38"/>
  <c r="K38"/>
  <c r="N38"/>
  <c r="I38"/>
  <c r="H38" i="4"/>
  <c r="H39" s="1"/>
  <c r="H41" s="1"/>
  <c r="H44" s="1"/>
  <c r="J38"/>
  <c r="J39" s="1"/>
  <c r="J41" s="1"/>
  <c r="J44" s="1"/>
  <c r="F38"/>
  <c r="F39" s="1"/>
  <c r="F41" s="1"/>
  <c r="F44" s="1"/>
  <c r="L38"/>
  <c r="L39" s="1"/>
  <c r="L41" s="1"/>
  <c r="L44" s="1"/>
  <c r="N38"/>
  <c r="N39" s="1"/>
  <c r="N41" s="1"/>
  <c r="N44" s="1"/>
  <c r="O35"/>
  <c r="E35"/>
  <c r="M35"/>
  <c r="D36"/>
  <c r="G36"/>
  <c r="G35"/>
  <c r="K36"/>
  <c r="K35"/>
  <c r="I35"/>
  <c r="I36" s="1"/>
  <c r="D148" i="2"/>
  <c r="D110"/>
  <c r="D73"/>
  <c r="D72"/>
  <c r="G65" i="7" l="1"/>
  <c r="G22"/>
  <c r="D65" i="6"/>
  <c r="D45" s="1"/>
  <c r="D46" s="1"/>
  <c r="D48" s="1"/>
  <c r="E63"/>
  <c r="F42"/>
  <c r="F44" s="1"/>
  <c r="G22"/>
  <c r="G36" s="1"/>
  <c r="G38" s="1"/>
  <c r="G41" s="1"/>
  <c r="H21"/>
  <c r="G33"/>
  <c r="G35" s="1"/>
  <c r="G42" s="1"/>
  <c r="G44" s="1"/>
  <c r="C27"/>
  <c r="C52" s="1"/>
  <c r="D66"/>
  <c r="F50" i="5"/>
  <c r="H72"/>
  <c r="F64"/>
  <c r="H62"/>
  <c r="G47"/>
  <c r="G61"/>
  <c r="G63"/>
  <c r="G41" s="1"/>
  <c r="G42" s="1"/>
  <c r="G43" s="1"/>
  <c r="G44" s="1"/>
  <c r="G46" s="1"/>
  <c r="G50" s="1"/>
  <c r="I39"/>
  <c r="N39"/>
  <c r="N42" s="1"/>
  <c r="K39"/>
  <c r="K42" s="1"/>
  <c r="O39"/>
  <c r="O42" s="1"/>
  <c r="M39"/>
  <c r="M42" s="1"/>
  <c r="E39"/>
  <c r="E42" s="1"/>
  <c r="G39"/>
  <c r="I38" i="4"/>
  <c r="I39" s="1"/>
  <c r="I41" s="1"/>
  <c r="I44" s="1"/>
  <c r="K38"/>
  <c r="K39" s="1"/>
  <c r="K41" s="1"/>
  <c r="K44" s="1"/>
  <c r="G38"/>
  <c r="G39" s="1"/>
  <c r="G41" s="1"/>
  <c r="G44" s="1"/>
  <c r="D38"/>
  <c r="D39" s="1"/>
  <c r="D41" s="1"/>
  <c r="D44" s="1"/>
  <c r="M36"/>
  <c r="E36"/>
  <c r="O36"/>
  <c r="E55" i="7" l="1"/>
  <c r="J58" s="1"/>
  <c r="D56"/>
  <c r="H65"/>
  <c r="D49" i="6"/>
  <c r="D50" s="1"/>
  <c r="D51" s="1"/>
  <c r="D52" s="1"/>
  <c r="D55" s="1"/>
  <c r="F63"/>
  <c r="E65"/>
  <c r="H33"/>
  <c r="H35" s="1"/>
  <c r="H22"/>
  <c r="H36" s="1"/>
  <c r="H38" s="1"/>
  <c r="H41" s="1"/>
  <c r="E43" i="5"/>
  <c r="E44" s="1"/>
  <c r="E46" s="1"/>
  <c r="E50" s="1"/>
  <c r="M44"/>
  <c r="M46" s="1"/>
  <c r="M50" s="1"/>
  <c r="M43"/>
  <c r="K44"/>
  <c r="K46" s="1"/>
  <c r="K50" s="1"/>
  <c r="K43"/>
  <c r="O44"/>
  <c r="O50" s="1"/>
  <c r="O43"/>
  <c r="N43"/>
  <c r="N44" s="1"/>
  <c r="N46" s="1"/>
  <c r="N50" s="1"/>
  <c r="I74"/>
  <c r="I75" s="1"/>
  <c r="I72"/>
  <c r="H61"/>
  <c r="H63"/>
  <c r="H41" s="1"/>
  <c r="H42" s="1"/>
  <c r="H43" s="1"/>
  <c r="H44" s="1"/>
  <c r="H46" s="1"/>
  <c r="H50" s="1"/>
  <c r="I62"/>
  <c r="H47"/>
  <c r="G64"/>
  <c r="O38" i="4"/>
  <c r="O39" s="1"/>
  <c r="O41" s="1"/>
  <c r="O44" s="1"/>
  <c r="M38"/>
  <c r="M39" s="1"/>
  <c r="M41" s="1"/>
  <c r="M44" s="1"/>
  <c r="E38"/>
  <c r="E39" s="1"/>
  <c r="E41" s="1"/>
  <c r="E44" s="1"/>
  <c r="F52" i="7" l="1"/>
  <c r="F55" s="1"/>
  <c r="E56"/>
  <c r="F56" s="1"/>
  <c r="D56" i="6"/>
  <c r="F65"/>
  <c r="G63"/>
  <c r="E45"/>
  <c r="E46" s="1"/>
  <c r="E48" s="1"/>
  <c r="E66"/>
  <c r="H42"/>
  <c r="H44" s="1"/>
  <c r="N74" i="5"/>
  <c r="J74"/>
  <c r="J75" s="1"/>
  <c r="J72"/>
  <c r="K73"/>
  <c r="K74"/>
  <c r="H64"/>
  <c r="J62"/>
  <c r="J47" s="1"/>
  <c r="I47"/>
  <c r="K62"/>
  <c r="I61"/>
  <c r="I63"/>
  <c r="I41" s="1"/>
  <c r="I42" s="1"/>
  <c r="I43" s="1"/>
  <c r="I44" s="1"/>
  <c r="I46" s="1"/>
  <c r="I50" s="1"/>
  <c r="D48" i="4"/>
  <c r="D47"/>
  <c r="H52" i="7" l="1"/>
  <c r="G52"/>
  <c r="G55" s="1"/>
  <c r="G65" i="6"/>
  <c r="H63"/>
  <c r="H65" s="1"/>
  <c r="E49"/>
  <c r="E50"/>
  <c r="E51" s="1"/>
  <c r="E52" s="1"/>
  <c r="E55" s="1"/>
  <c r="E56" s="1"/>
  <c r="F45"/>
  <c r="F46" s="1"/>
  <c r="F48" s="1"/>
  <c r="F66"/>
  <c r="N73" i="5"/>
  <c r="I64"/>
  <c r="J61"/>
  <c r="J63"/>
  <c r="J41" s="1"/>
  <c r="J42" s="1"/>
  <c r="J43" s="1"/>
  <c r="J44" s="1"/>
  <c r="J46" s="1"/>
  <c r="J50" s="1"/>
  <c r="D54" s="1"/>
  <c r="J59" i="7" l="1"/>
  <c r="G56"/>
  <c r="H56" s="1"/>
  <c r="I56" s="1"/>
  <c r="J56" s="1"/>
  <c r="F49" i="6"/>
  <c r="F50" s="1"/>
  <c r="F51" s="1"/>
  <c r="F52" s="1"/>
  <c r="F55" s="1"/>
  <c r="G45"/>
  <c r="G46" s="1"/>
  <c r="G48" s="1"/>
  <c r="G66"/>
  <c r="H45"/>
  <c r="H46" s="1"/>
  <c r="H48" s="1"/>
  <c r="H66"/>
  <c r="D53" i="5"/>
  <c r="K75"/>
  <c r="J64"/>
  <c r="N63"/>
  <c r="K63"/>
  <c r="F56" i="6" l="1"/>
  <c r="H50"/>
  <c r="H51" s="1"/>
  <c r="H52" s="1"/>
  <c r="H55" s="1"/>
  <c r="H49"/>
  <c r="G49"/>
  <c r="G50" s="1"/>
  <c r="G51" s="1"/>
  <c r="G52" s="1"/>
  <c r="G55" s="1"/>
  <c r="K64" i="5"/>
  <c r="K56" i="6" l="1"/>
  <c r="K57"/>
  <c r="G56"/>
  <c r="H56" s="1"/>
</calcChain>
</file>

<file path=xl/sharedStrings.xml><?xml version="1.0" encoding="utf-8"?>
<sst xmlns="http://schemas.openxmlformats.org/spreadsheetml/2006/main" count="461" uniqueCount="116">
  <si>
    <t>TIR</t>
  </si>
  <si>
    <t>VAN</t>
  </si>
  <si>
    <t>Inversion inmovilizado</t>
  </si>
  <si>
    <t>Capital circulante</t>
  </si>
  <si>
    <t xml:space="preserve">Total fondos invertidos </t>
  </si>
  <si>
    <t>Creditos</t>
  </si>
  <si>
    <t>Fondos propios</t>
  </si>
  <si>
    <t>Valor Residual y Cap Circulante</t>
  </si>
  <si>
    <t>Total gastos</t>
  </si>
  <si>
    <t>Intereses creditos</t>
  </si>
  <si>
    <t>Beneficio Bruto</t>
  </si>
  <si>
    <t>Amortizaciones</t>
  </si>
  <si>
    <t>Factor de agotamiento</t>
  </si>
  <si>
    <t>Beneficios antes de impuestos</t>
  </si>
  <si>
    <t>Impuestos</t>
  </si>
  <si>
    <t>Beneficios despues de impuestos</t>
  </si>
  <si>
    <t>Fondos Generados</t>
  </si>
  <si>
    <t>Reembolso credito</t>
  </si>
  <si>
    <t>Cash-flow operativo</t>
  </si>
  <si>
    <t>Ingresos por ventas</t>
  </si>
  <si>
    <t>Produccion anual</t>
  </si>
  <si>
    <t>Reservas explotables</t>
  </si>
  <si>
    <t>Precio de venta del mineral</t>
  </si>
  <si>
    <t>Factor de Agotamiento</t>
  </si>
  <si>
    <t>Impuesto de Sociedades</t>
  </si>
  <si>
    <t>25 por ciento</t>
  </si>
  <si>
    <t>30 por ciento</t>
  </si>
  <si>
    <t>CASO    10</t>
  </si>
  <si>
    <t>Tabla 15</t>
  </si>
  <si>
    <t>Tabla 16</t>
  </si>
  <si>
    <t>Tabla 18</t>
  </si>
  <si>
    <t>Tabla 19</t>
  </si>
  <si>
    <t>Tabla 26</t>
  </si>
  <si>
    <t>Ejercicio 14</t>
  </si>
  <si>
    <t>pag   485</t>
  </si>
  <si>
    <t>AÑO</t>
  </si>
  <si>
    <t>Producción de mineral -  Mt</t>
  </si>
  <si>
    <t>Producción Concentrado  - t</t>
  </si>
  <si>
    <t>Precio venta -       €/t</t>
  </si>
  <si>
    <t>Coste de explotación -  €/t</t>
  </si>
  <si>
    <t>Coste de tratamiento -  €/t</t>
  </si>
  <si>
    <t>Costes generales -  €/t</t>
  </si>
  <si>
    <t>Total Gastos</t>
  </si>
  <si>
    <t>Ley media     gW/t</t>
  </si>
  <si>
    <t>%  concentrado WO3</t>
  </si>
  <si>
    <t>Recuperación mineralurgica</t>
  </si>
  <si>
    <t>Relación esteril/mineral</t>
  </si>
  <si>
    <t>Canon</t>
  </si>
  <si>
    <t>Cotización concentrado   $/mtu</t>
  </si>
  <si>
    <t>Paridad           €/$</t>
  </si>
  <si>
    <t>Producción de estéril -  Mm3</t>
  </si>
  <si>
    <t>Ratio   -  E/M                    -   t/t</t>
  </si>
  <si>
    <t>Total fondos invertidos     -  €</t>
  </si>
  <si>
    <t>Inversion inmovilizado       -  €</t>
  </si>
  <si>
    <t>Capital circulante                 -  €</t>
  </si>
  <si>
    <t>Nota   el símbolo   €    se refiere siempre a pesetas  en este ejercicio</t>
  </si>
  <si>
    <t>Coste mineral</t>
  </si>
  <si>
    <t>Gastos generales</t>
  </si>
  <si>
    <t>Tratamiento</t>
  </si>
  <si>
    <t>Coste esteril  €</t>
  </si>
  <si>
    <t>Reservas        Mt</t>
  </si>
  <si>
    <t>Impuesto Sociedades</t>
  </si>
  <si>
    <t>Producción año 1</t>
  </si>
  <si>
    <t>Producción año 2</t>
  </si>
  <si>
    <t>Producción restos años</t>
  </si>
  <si>
    <t>Ejercicio 15</t>
  </si>
  <si>
    <t>pag   486</t>
  </si>
  <si>
    <t>Tabla 30</t>
  </si>
  <si>
    <t>Créditos                                     -  €</t>
  </si>
  <si>
    <t>Subvenciones                         -  €</t>
  </si>
  <si>
    <t xml:space="preserve"> </t>
  </si>
  <si>
    <t>Fondos Propios                      -  €</t>
  </si>
  <si>
    <t>Subvenciones</t>
  </si>
  <si>
    <t>Intereses créditos</t>
  </si>
  <si>
    <t>Reembolso crédito</t>
  </si>
  <si>
    <t>Interés</t>
  </si>
  <si>
    <t>carencia</t>
  </si>
  <si>
    <t xml:space="preserve">Año </t>
  </si>
  <si>
    <t>Intereses</t>
  </si>
  <si>
    <t>Cantidad pendiente</t>
  </si>
  <si>
    <t>TOTAL</t>
  </si>
  <si>
    <t>Anualidad</t>
  </si>
  <si>
    <t>Crédito - amortización anual</t>
  </si>
  <si>
    <t>Beneficios despues Int. antes de impuestos</t>
  </si>
  <si>
    <t>Crédito  ( 1/2  * inversion inmovilizado)</t>
  </si>
  <si>
    <t>Crédito  (  capital circulante)</t>
  </si>
  <si>
    <t>Años de explotación</t>
  </si>
  <si>
    <t>Contenido bruto mineral g WO3/tb</t>
  </si>
  <si>
    <t>Toneladas anuales al   67 %</t>
  </si>
  <si>
    <t>Recuperación mineralurgica g WO3/tb  al  67 %</t>
  </si>
  <si>
    <t>Precio de venta por tonelada</t>
  </si>
  <si>
    <t>Coste esteril  €/t</t>
  </si>
  <si>
    <t>Coste mineral  €/t</t>
  </si>
  <si>
    <t>Tratamiento  €/t</t>
  </si>
  <si>
    <t>Gastos generales  €/t</t>
  </si>
  <si>
    <t xml:space="preserve">Coste de exteril  </t>
  </si>
  <si>
    <t xml:space="preserve">Coste de mineral </t>
  </si>
  <si>
    <t xml:space="preserve">Coste de explotación </t>
  </si>
  <si>
    <t xml:space="preserve">Coste de tratamiento </t>
  </si>
  <si>
    <t xml:space="preserve">Costes generales </t>
  </si>
  <si>
    <t>Beneficios antes de intereses e impuestos</t>
  </si>
  <si>
    <t>Base imponible</t>
  </si>
  <si>
    <t>Impuestos  30 % Base imponible</t>
  </si>
  <si>
    <t>Beneficio Neto</t>
  </si>
  <si>
    <t>Cash-flow operativo actualizado</t>
  </si>
  <si>
    <t>Préstamo</t>
  </si>
  <si>
    <t>Prestamo</t>
  </si>
  <si>
    <t>Interés Préstamo</t>
  </si>
  <si>
    <t>Amortización</t>
  </si>
  <si>
    <t>RMA - Rentabilidad mínima aceptable</t>
  </si>
  <si>
    <t>RMA - Coste - Rentabilidad mínima aceptable</t>
  </si>
  <si>
    <t>Incremento RMA</t>
  </si>
  <si>
    <t>Ejercicio Oposición IM - 2010     JCyL</t>
  </si>
  <si>
    <t>Ejercicio Oposición ITM - 2016     JCyL</t>
  </si>
  <si>
    <t>Producción de estéril -  Mt</t>
  </si>
  <si>
    <t>Impuestos  25 % Base imponible</t>
  </si>
</sst>
</file>

<file path=xl/styles.xml><?xml version="1.0" encoding="utf-8"?>
<styleSheet xmlns="http://schemas.openxmlformats.org/spreadsheetml/2006/main">
  <numFmts count="6">
    <numFmt numFmtId="8" formatCode="#,##0.00\ &quot;€&quot;;[Red]\-#,##0.00\ &quot;€&quot;"/>
    <numFmt numFmtId="164" formatCode="0.000%"/>
    <numFmt numFmtId="165" formatCode="#,##0.00\ &quot;€&quot;"/>
    <numFmt numFmtId="166" formatCode="#,##0.00_ ;[Red]\-#,##0.00\ "/>
    <numFmt numFmtId="167" formatCode="0.000"/>
    <numFmt numFmtId="168" formatCode="#,##0.000"/>
  </numFmts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10" fontId="0" fillId="0" borderId="0" xfId="0" applyNumberFormat="1"/>
    <xf numFmtId="8" fontId="0" fillId="0" borderId="0" xfId="0" applyNumberFormat="1"/>
    <xf numFmtId="164" fontId="0" fillId="0" borderId="0" xfId="0" applyNumberFormat="1"/>
    <xf numFmtId="2" fontId="0" fillId="0" borderId="0" xfId="0" applyNumberFormat="1"/>
    <xf numFmtId="4" fontId="0" fillId="0" borderId="0" xfId="0" applyNumberFormat="1"/>
    <xf numFmtId="165" fontId="0" fillId="0" borderId="0" xfId="0" applyNumberFormat="1"/>
    <xf numFmtId="0" fontId="0" fillId="0" borderId="0" xfId="0" applyNumberFormat="1" applyAlignment="1">
      <alignment horizontal="center"/>
    </xf>
    <xf numFmtId="166" fontId="0" fillId="0" borderId="0" xfId="0" applyNumberFormat="1"/>
    <xf numFmtId="0" fontId="0" fillId="2" borderId="0" xfId="0" applyFill="1"/>
    <xf numFmtId="0" fontId="1" fillId="2" borderId="0" xfId="0" applyFont="1" applyFill="1"/>
    <xf numFmtId="0" fontId="0" fillId="3" borderId="0" xfId="0" applyFill="1"/>
    <xf numFmtId="8" fontId="0" fillId="3" borderId="0" xfId="0" applyNumberFormat="1" applyFill="1"/>
    <xf numFmtId="10" fontId="0" fillId="3" borderId="0" xfId="0" applyNumberFormat="1" applyFill="1"/>
    <xf numFmtId="0" fontId="1" fillId="0" borderId="0" xfId="0" applyFont="1" applyFill="1"/>
    <xf numFmtId="0" fontId="0" fillId="0" borderId="0" xfId="0" applyFill="1"/>
    <xf numFmtId="0" fontId="0" fillId="0" borderId="0" xfId="0" applyNumberFormat="1"/>
    <xf numFmtId="165" fontId="0" fillId="0" borderId="0" xfId="0" applyNumberFormat="1" applyAlignment="1">
      <alignment horizontal="center"/>
    </xf>
    <xf numFmtId="167" fontId="0" fillId="0" borderId="0" xfId="0" applyNumberFormat="1"/>
    <xf numFmtId="167" fontId="0" fillId="0" borderId="0" xfId="0" applyNumberFormat="1" applyAlignment="1">
      <alignment horizontal="center"/>
    </xf>
    <xf numFmtId="0" fontId="1" fillId="2" borderId="0" xfId="0" applyNumberFormat="1" applyFont="1" applyFill="1"/>
    <xf numFmtId="4" fontId="0" fillId="0" borderId="0" xfId="0" applyNumberFormat="1" applyAlignment="1">
      <alignment horizontal="right"/>
    </xf>
    <xf numFmtId="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0" fontId="0" fillId="4" borderId="0" xfId="0" applyFill="1"/>
    <xf numFmtId="165" fontId="2" fillId="0" borderId="0" xfId="0" applyNumberFormat="1" applyFont="1"/>
    <xf numFmtId="165" fontId="2" fillId="0" borderId="0" xfId="0" applyNumberFormat="1" applyFont="1" applyFill="1"/>
    <xf numFmtId="0" fontId="2" fillId="0" borderId="0" xfId="0" applyFont="1"/>
    <xf numFmtId="4" fontId="2" fillId="0" borderId="0" xfId="0" applyNumberFormat="1" applyFont="1"/>
    <xf numFmtId="167" fontId="1" fillId="0" borderId="0" xfId="0" applyNumberFormat="1" applyFont="1" applyAlignment="1">
      <alignment horizontal="center"/>
    </xf>
    <xf numFmtId="168" fontId="0" fillId="3" borderId="0" xfId="0" applyNumberFormat="1" applyFill="1"/>
    <xf numFmtId="164" fontId="0" fillId="3" borderId="0" xfId="0" applyNumberFormat="1" applyFill="1"/>
    <xf numFmtId="0" fontId="1" fillId="0" borderId="0" xfId="0" applyNumberFormat="1" applyFont="1" applyFill="1"/>
    <xf numFmtId="164" fontId="0" fillId="0" borderId="0" xfId="0" applyNumberFormat="1" applyFill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5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165" fontId="3" fillId="0" borderId="0" xfId="0" applyNumberFormat="1" applyFont="1"/>
    <xf numFmtId="0" fontId="2" fillId="0" borderId="0" xfId="0" applyFont="1" applyFill="1"/>
    <xf numFmtId="167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0" fillId="5" borderId="0" xfId="0" applyNumberFormat="1" applyFill="1" applyAlignment="1">
      <alignment horizontal="center"/>
    </xf>
    <xf numFmtId="165" fontId="0" fillId="0" borderId="0" xfId="0" applyNumberFormat="1" applyFill="1"/>
    <xf numFmtId="0" fontId="4" fillId="0" borderId="0" xfId="0" applyFont="1"/>
    <xf numFmtId="0" fontId="0" fillId="0" borderId="0" xfId="0" applyFill="1" applyAlignment="1">
      <alignment horizontal="center"/>
    </xf>
    <xf numFmtId="1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168" fontId="0" fillId="0" borderId="0" xfId="0" applyNumberFormat="1" applyFill="1"/>
    <xf numFmtId="165" fontId="3" fillId="0" borderId="0" xfId="0" applyNumberFormat="1" applyFont="1" applyFill="1"/>
    <xf numFmtId="0" fontId="4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U58"/>
  <sheetViews>
    <sheetView workbookViewId="0">
      <selection activeCell="E5" sqref="E5"/>
    </sheetView>
  </sheetViews>
  <sheetFormatPr baseColWidth="10" defaultRowHeight="15"/>
  <cols>
    <col min="5" max="5" width="16.42578125" customWidth="1"/>
    <col min="8" max="8" width="11.42578125" style="4"/>
    <col min="11" max="11" width="17.140625" style="3" customWidth="1"/>
  </cols>
  <sheetData>
    <row r="3" spans="2:21">
      <c r="B3" s="5">
        <v>-1434</v>
      </c>
      <c r="H3" s="5">
        <v>-1434</v>
      </c>
      <c r="M3" s="5">
        <v>-1434</v>
      </c>
      <c r="R3" s="5">
        <v>-1434</v>
      </c>
    </row>
    <row r="4" spans="2:21">
      <c r="B4">
        <v>233.75</v>
      </c>
      <c r="H4" s="4">
        <v>235.09</v>
      </c>
      <c r="M4" s="4">
        <v>236.43</v>
      </c>
      <c r="R4" s="4">
        <v>250.97</v>
      </c>
    </row>
    <row r="5" spans="2:21">
      <c r="B5">
        <v>233.75</v>
      </c>
      <c r="D5" t="s">
        <v>0</v>
      </c>
      <c r="E5" s="1">
        <f>IRR(B3:B23)</f>
        <v>0.21863174583598552</v>
      </c>
      <c r="H5" s="4">
        <v>236.49</v>
      </c>
      <c r="J5" t="s">
        <v>0</v>
      </c>
      <c r="K5" s="3">
        <f>IRR(H3:H23)</f>
        <v>0.22386457426245873</v>
      </c>
      <c r="M5" s="4">
        <v>239.37</v>
      </c>
      <c r="O5" t="s">
        <v>0</v>
      </c>
      <c r="P5" s="3">
        <f>IRR(M3:M23)</f>
        <v>0.23140093395543435</v>
      </c>
      <c r="R5" s="4">
        <v>271.51</v>
      </c>
      <c r="T5" t="s">
        <v>0</v>
      </c>
      <c r="U5" s="3">
        <f>IRR(R3:R23)</f>
        <v>0.30844601036853286</v>
      </c>
    </row>
    <row r="6" spans="2:21">
      <c r="B6">
        <v>233.75</v>
      </c>
      <c r="D6" t="s">
        <v>1</v>
      </c>
      <c r="E6" s="2">
        <f>NPV(0.2,B4:B23)+B3</f>
        <v>144.405763214324</v>
      </c>
      <c r="H6" s="4">
        <v>237.97</v>
      </c>
      <c r="J6" t="s">
        <v>1</v>
      </c>
      <c r="K6" s="4">
        <f>NPV(0.2,H4:H23)+H3</f>
        <v>188.4750316138111</v>
      </c>
      <c r="M6" s="4">
        <v>242.61</v>
      </c>
      <c r="O6" t="s">
        <v>1</v>
      </c>
      <c r="P6" s="4">
        <f>NPV(0.2,M4:M23)+M3</f>
        <v>256.84364801512697</v>
      </c>
      <c r="R6" s="4">
        <v>295.93</v>
      </c>
      <c r="T6" t="s">
        <v>1</v>
      </c>
      <c r="U6" s="4">
        <f>NPV(0.2,R4:R23)+R3</f>
        <v>1294.7818477065716</v>
      </c>
    </row>
    <row r="7" spans="2:21">
      <c r="B7">
        <v>233.75</v>
      </c>
      <c r="H7" s="4">
        <v>239.52</v>
      </c>
      <c r="M7" s="4">
        <v>246.18</v>
      </c>
      <c r="R7" s="4">
        <v>324.89999999999998</v>
      </c>
    </row>
    <row r="8" spans="2:21">
      <c r="B8">
        <v>324.75</v>
      </c>
      <c r="H8" s="4">
        <v>332.15</v>
      </c>
      <c r="M8" s="4">
        <v>341.1</v>
      </c>
      <c r="R8" s="4">
        <v>450.19</v>
      </c>
    </row>
    <row r="9" spans="2:21">
      <c r="B9">
        <v>439.75</v>
      </c>
      <c r="H9" s="4">
        <v>448.86</v>
      </c>
      <c r="M9" s="4">
        <v>460.41</v>
      </c>
      <c r="R9" s="4">
        <v>605.69000000000005</v>
      </c>
    </row>
    <row r="10" spans="2:21">
      <c r="B10">
        <v>685.75</v>
      </c>
      <c r="H10" s="4">
        <v>696.65</v>
      </c>
      <c r="M10" s="4">
        <v>711.15</v>
      </c>
      <c r="R10" s="4">
        <v>899.45</v>
      </c>
    </row>
    <row r="11" spans="2:21">
      <c r="B11">
        <v>896.75</v>
      </c>
      <c r="H11" s="4">
        <v>909.53</v>
      </c>
      <c r="M11" s="4">
        <v>927.27</v>
      </c>
      <c r="R11" s="4">
        <v>1166.6600000000001</v>
      </c>
    </row>
    <row r="12" spans="2:21">
      <c r="B12">
        <v>42.75</v>
      </c>
      <c r="H12" s="4">
        <v>57.51</v>
      </c>
      <c r="M12" s="4">
        <v>79.11</v>
      </c>
      <c r="R12" s="4">
        <v>378.73</v>
      </c>
    </row>
    <row r="13" spans="2:21">
      <c r="B13">
        <v>99.75</v>
      </c>
      <c r="H13" s="4">
        <v>116.59</v>
      </c>
      <c r="M13" s="4">
        <v>142.41999999999999</v>
      </c>
      <c r="R13" s="4">
        <v>513.28</v>
      </c>
    </row>
    <row r="14" spans="2:21">
      <c r="B14">
        <v>206.75</v>
      </c>
      <c r="H14" s="4">
        <v>225.77</v>
      </c>
      <c r="M14" s="4">
        <v>256.37</v>
      </c>
      <c r="R14" s="4">
        <v>711.18</v>
      </c>
    </row>
    <row r="15" spans="2:21">
      <c r="B15">
        <v>233.75</v>
      </c>
      <c r="H15" s="4">
        <v>255.06</v>
      </c>
      <c r="M15" s="4">
        <v>291.01</v>
      </c>
      <c r="R15" s="4">
        <v>844.61</v>
      </c>
    </row>
    <row r="16" spans="2:21">
      <c r="B16">
        <v>776.75</v>
      </c>
      <c r="H16" s="4">
        <v>800.46</v>
      </c>
      <c r="M16" s="4">
        <v>842.41</v>
      </c>
      <c r="R16" s="4">
        <v>1512.1</v>
      </c>
    </row>
    <row r="17" spans="2:18">
      <c r="B17">
        <v>233.75</v>
      </c>
      <c r="H17" s="4">
        <v>259.99</v>
      </c>
      <c r="M17" s="4">
        <v>308.64999999999998</v>
      </c>
      <c r="R17" s="4">
        <v>1114.55</v>
      </c>
    </row>
    <row r="18" spans="2:18">
      <c r="B18">
        <v>895.75</v>
      </c>
      <c r="H18" s="4">
        <v>924.64</v>
      </c>
      <c r="M18" s="4">
        <v>980.82</v>
      </c>
      <c r="R18" s="4">
        <v>1946.34</v>
      </c>
    </row>
    <row r="19" spans="2:18">
      <c r="B19">
        <v>483.75</v>
      </c>
      <c r="H19" s="4">
        <v>515.41999999999996</v>
      </c>
      <c r="M19" s="4">
        <v>580.01</v>
      </c>
      <c r="R19" s="4">
        <v>1732.38</v>
      </c>
    </row>
    <row r="20" spans="2:18">
      <c r="B20">
        <v>-5.25</v>
      </c>
      <c r="H20" s="4">
        <v>29.34</v>
      </c>
      <c r="M20" s="4">
        <v>103.31</v>
      </c>
      <c r="R20" s="4">
        <v>1474.18</v>
      </c>
    </row>
    <row r="21" spans="2:18">
      <c r="B21">
        <v>233.75</v>
      </c>
      <c r="H21" s="4">
        <v>271.41000000000003</v>
      </c>
      <c r="M21" s="4">
        <v>355.84</v>
      </c>
      <c r="R21" s="4">
        <v>1981.95</v>
      </c>
    </row>
    <row r="22" spans="2:18">
      <c r="B22">
        <v>805.75</v>
      </c>
      <c r="H22" s="4">
        <v>846.63</v>
      </c>
      <c r="M22" s="4">
        <v>942.73</v>
      </c>
      <c r="R22" s="4">
        <v>2866.74</v>
      </c>
    </row>
    <row r="23" spans="2:18">
      <c r="B23">
        <v>316.75</v>
      </c>
      <c r="H23" s="4">
        <v>361.02</v>
      </c>
      <c r="M23" s="4">
        <v>470.1</v>
      </c>
      <c r="R23" s="4">
        <v>2741.51</v>
      </c>
    </row>
    <row r="30" spans="2:18">
      <c r="B30" s="5">
        <v>-2000</v>
      </c>
      <c r="H30" s="5">
        <v>-2000</v>
      </c>
      <c r="K30"/>
    </row>
    <row r="31" spans="2:18">
      <c r="B31">
        <v>653</v>
      </c>
      <c r="H31">
        <v>702</v>
      </c>
      <c r="K31"/>
    </row>
    <row r="32" spans="2:18">
      <c r="B32">
        <v>653</v>
      </c>
      <c r="D32" t="s">
        <v>0</v>
      </c>
      <c r="E32" s="1">
        <f>IRR(B30:B35)</f>
        <v>0.21575769575999185</v>
      </c>
      <c r="H32">
        <v>662.8</v>
      </c>
      <c r="K32" s="1">
        <f>IRR(H30:H35)</f>
        <v>0.21821871658021097</v>
      </c>
    </row>
    <row r="33" spans="2:11">
      <c r="B33">
        <v>653</v>
      </c>
      <c r="D33" t="s">
        <v>1</v>
      </c>
      <c r="E33" s="2">
        <f>NPV(0.15,B31:B35)+B30</f>
        <v>338.11029959093275</v>
      </c>
      <c r="H33">
        <v>639.29999999999995</v>
      </c>
      <c r="K33" s="2">
        <f>NPV(0.15,H31:H35)+H30</f>
        <v>342.49422070887204</v>
      </c>
    </row>
    <row r="34" spans="2:11">
      <c r="B34">
        <v>653</v>
      </c>
      <c r="H34">
        <v>625.20000000000005</v>
      </c>
      <c r="K34"/>
    </row>
    <row r="35" spans="2:11">
      <c r="B35">
        <v>953</v>
      </c>
      <c r="H35">
        <v>911.3</v>
      </c>
      <c r="K35"/>
    </row>
    <row r="46" spans="2:11">
      <c r="B46" s="5">
        <v>-713</v>
      </c>
    </row>
    <row r="47" spans="2:11">
      <c r="B47">
        <v>97</v>
      </c>
    </row>
    <row r="48" spans="2:11">
      <c r="B48">
        <v>135</v>
      </c>
      <c r="D48" t="s">
        <v>0</v>
      </c>
      <c r="E48" s="1">
        <f>IRR(B46:B58)</f>
        <v>0.16759150539265663</v>
      </c>
    </row>
    <row r="49" spans="2:5">
      <c r="B49">
        <v>154</v>
      </c>
      <c r="D49" t="s">
        <v>1</v>
      </c>
      <c r="E49" s="2">
        <f>NPV(0.15,B47:B58)+B46</f>
        <v>57.843378738413435</v>
      </c>
    </row>
    <row r="50" spans="2:5">
      <c r="B50">
        <v>154</v>
      </c>
    </row>
    <row r="51" spans="2:5">
      <c r="B51">
        <v>154</v>
      </c>
    </row>
    <row r="52" spans="2:5">
      <c r="B52">
        <v>154</v>
      </c>
    </row>
    <row r="53" spans="2:5">
      <c r="B53">
        <v>154</v>
      </c>
    </row>
    <row r="54" spans="2:5">
      <c r="B54">
        <v>154</v>
      </c>
    </row>
    <row r="55" spans="2:5">
      <c r="B55">
        <v>154</v>
      </c>
    </row>
    <row r="56" spans="2:5">
      <c r="B56">
        <v>154</v>
      </c>
    </row>
    <row r="57" spans="2:5">
      <c r="B57">
        <v>154</v>
      </c>
    </row>
    <row r="58" spans="2:5">
      <c r="B58">
        <v>154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48"/>
  <sheetViews>
    <sheetView zoomScale="80" zoomScaleNormal="80" workbookViewId="0">
      <selection activeCell="B5" sqref="B5"/>
    </sheetView>
  </sheetViews>
  <sheetFormatPr baseColWidth="10" defaultRowHeight="15"/>
  <cols>
    <col min="2" max="2" width="28.7109375" bestFit="1" customWidth="1"/>
    <col min="11" max="11" width="25.5703125" bestFit="1" customWidth="1"/>
    <col min="12" max="12" width="14.140625" style="8" customWidth="1"/>
  </cols>
  <sheetData>
    <row r="1" spans="1:13">
      <c r="B1" s="9" t="s">
        <v>27</v>
      </c>
    </row>
    <row r="2" spans="1:13">
      <c r="K2" t="s">
        <v>21</v>
      </c>
      <c r="L2" s="8">
        <v>5000000</v>
      </c>
    </row>
    <row r="3" spans="1:13">
      <c r="K3" t="s">
        <v>20</v>
      </c>
      <c r="L3" s="8">
        <v>1000000</v>
      </c>
    </row>
    <row r="4" spans="1:13">
      <c r="K4" t="s">
        <v>22</v>
      </c>
      <c r="L4" s="8">
        <v>2000</v>
      </c>
    </row>
    <row r="5" spans="1:13">
      <c r="A5" s="10" t="s">
        <v>28</v>
      </c>
      <c r="B5" t="s">
        <v>35</v>
      </c>
      <c r="C5" s="7">
        <v>0</v>
      </c>
      <c r="D5" s="7">
        <v>1</v>
      </c>
      <c r="E5" s="7">
        <v>2</v>
      </c>
      <c r="F5" s="7">
        <v>3</v>
      </c>
      <c r="G5" s="7">
        <v>4</v>
      </c>
      <c r="H5" s="7">
        <v>5</v>
      </c>
      <c r="K5" t="s">
        <v>23</v>
      </c>
      <c r="L5" s="8" t="s">
        <v>26</v>
      </c>
      <c r="M5">
        <v>30</v>
      </c>
    </row>
    <row r="6" spans="1:13">
      <c r="C6" s="6"/>
      <c r="D6" s="6"/>
      <c r="E6" s="6"/>
      <c r="F6" s="6"/>
      <c r="G6" s="6"/>
      <c r="H6" s="6"/>
      <c r="K6" t="s">
        <v>24</v>
      </c>
      <c r="L6" s="8" t="s">
        <v>25</v>
      </c>
      <c r="M6">
        <v>25</v>
      </c>
    </row>
    <row r="7" spans="1:13">
      <c r="B7" t="s">
        <v>2</v>
      </c>
      <c r="C7" s="6">
        <v>1800</v>
      </c>
      <c r="D7" s="6"/>
      <c r="E7" s="6"/>
      <c r="F7" s="6"/>
      <c r="G7" s="6"/>
      <c r="H7" s="6"/>
    </row>
    <row r="8" spans="1:13">
      <c r="B8" t="s">
        <v>3</v>
      </c>
      <c r="C8" s="6">
        <v>200</v>
      </c>
      <c r="D8" s="6"/>
      <c r="E8" s="6"/>
      <c r="F8" s="6"/>
      <c r="G8" s="6"/>
      <c r="H8" s="6"/>
    </row>
    <row r="9" spans="1:13">
      <c r="B9" t="s">
        <v>4</v>
      </c>
      <c r="C9" s="6">
        <f>C7+C8</f>
        <v>2000</v>
      </c>
      <c r="D9" s="6"/>
      <c r="E9" s="6"/>
      <c r="F9" s="6"/>
      <c r="G9" s="6"/>
      <c r="H9" s="6"/>
    </row>
    <row r="10" spans="1:13">
      <c r="C10" s="6"/>
      <c r="D10" s="6"/>
      <c r="E10" s="6"/>
      <c r="F10" s="6"/>
      <c r="G10" s="6"/>
      <c r="H10" s="6"/>
    </row>
    <row r="11" spans="1:13">
      <c r="B11" t="s">
        <v>5</v>
      </c>
      <c r="C11" s="6"/>
      <c r="D11" s="6"/>
      <c r="E11" s="6"/>
      <c r="F11" s="6"/>
      <c r="G11" s="6"/>
      <c r="H11" s="6"/>
    </row>
    <row r="12" spans="1:13">
      <c r="B12" t="s">
        <v>6</v>
      </c>
      <c r="C12" s="6">
        <f>C9</f>
        <v>2000</v>
      </c>
      <c r="D12" s="6"/>
      <c r="E12" s="6"/>
      <c r="F12" s="6"/>
      <c r="G12" s="6"/>
      <c r="H12" s="6"/>
    </row>
    <row r="13" spans="1:13">
      <c r="B13" t="s">
        <v>7</v>
      </c>
      <c r="C13" s="6"/>
      <c r="D13" s="6"/>
      <c r="E13" s="6"/>
      <c r="F13" s="6"/>
      <c r="G13" s="6"/>
      <c r="H13" s="6">
        <v>300</v>
      </c>
    </row>
    <row r="14" spans="1:13">
      <c r="C14" s="6"/>
      <c r="D14" s="6"/>
      <c r="E14" s="6"/>
      <c r="F14" s="6"/>
      <c r="G14" s="6"/>
      <c r="H14" s="6"/>
    </row>
    <row r="15" spans="1:13">
      <c r="B15" t="s">
        <v>19</v>
      </c>
      <c r="C15" s="6"/>
      <c r="D15" s="6">
        <v>2000</v>
      </c>
      <c r="E15" s="6">
        <v>2000</v>
      </c>
      <c r="F15" s="6">
        <v>2000</v>
      </c>
      <c r="G15" s="6">
        <v>2000</v>
      </c>
      <c r="H15" s="6">
        <v>2000</v>
      </c>
    </row>
    <row r="16" spans="1:13">
      <c r="B16" t="s">
        <v>8</v>
      </c>
      <c r="C16" s="6"/>
      <c r="D16" s="6">
        <v>1200</v>
      </c>
      <c r="E16" s="6">
        <v>1200</v>
      </c>
      <c r="F16" s="6">
        <v>1200</v>
      </c>
      <c r="G16" s="6">
        <v>1200</v>
      </c>
      <c r="H16" s="6">
        <v>1200</v>
      </c>
    </row>
    <row r="17" spans="2:8">
      <c r="B17" t="s">
        <v>9</v>
      </c>
      <c r="C17" s="6"/>
      <c r="D17" s="6"/>
      <c r="E17" s="6"/>
      <c r="F17" s="6"/>
      <c r="G17" s="6"/>
      <c r="H17" s="6"/>
    </row>
    <row r="18" spans="2:8">
      <c r="B18" t="s">
        <v>10</v>
      </c>
      <c r="C18" s="6"/>
      <c r="D18" s="6">
        <f>D15-D16</f>
        <v>800</v>
      </c>
      <c r="E18" s="6">
        <f>E15-E16</f>
        <v>800</v>
      </c>
      <c r="F18" s="6">
        <f>F15-F16</f>
        <v>800</v>
      </c>
      <c r="G18" s="6">
        <f>G15-G16</f>
        <v>800</v>
      </c>
      <c r="H18" s="6">
        <f>H15-H16</f>
        <v>800</v>
      </c>
    </row>
    <row r="19" spans="2:8">
      <c r="C19" s="6"/>
      <c r="D19" s="6"/>
      <c r="E19" s="6"/>
      <c r="F19" s="6"/>
      <c r="G19" s="6"/>
      <c r="H19" s="6"/>
    </row>
    <row r="20" spans="2:8">
      <c r="B20" t="s">
        <v>11</v>
      </c>
      <c r="C20" s="6"/>
      <c r="D20" s="6">
        <v>200</v>
      </c>
      <c r="E20" s="6">
        <v>200</v>
      </c>
      <c r="F20" s="6">
        <v>200</v>
      </c>
      <c r="G20" s="6">
        <v>200</v>
      </c>
      <c r="H20" s="6">
        <v>200</v>
      </c>
    </row>
    <row r="21" spans="2:8">
      <c r="B21" t="s">
        <v>12</v>
      </c>
      <c r="C21" s="6"/>
      <c r="D21" s="6">
        <f>(D18-D20)*30%</f>
        <v>180</v>
      </c>
      <c r="E21" s="6">
        <f>(E18-E20)*30%</f>
        <v>180</v>
      </c>
      <c r="F21" s="6">
        <f>(F18-F20)*30%</f>
        <v>180</v>
      </c>
      <c r="G21" s="6">
        <f>(G18-G20)*30%</f>
        <v>180</v>
      </c>
      <c r="H21" s="6">
        <f>(H18-H20)*30%</f>
        <v>180</v>
      </c>
    </row>
    <row r="22" spans="2:8">
      <c r="B22" t="s">
        <v>13</v>
      </c>
      <c r="C22" s="6"/>
      <c r="D22" s="6">
        <f>D18-D20-D21</f>
        <v>420</v>
      </c>
      <c r="E22" s="6">
        <f>E18-E20-E21</f>
        <v>420</v>
      </c>
      <c r="F22" s="6">
        <f>F18-F20-F21</f>
        <v>420</v>
      </c>
      <c r="G22" s="6">
        <f>G18-G20-G21</f>
        <v>420</v>
      </c>
      <c r="H22" s="6">
        <f>H18-H20-H21</f>
        <v>420</v>
      </c>
    </row>
    <row r="23" spans="2:8">
      <c r="C23" s="6"/>
      <c r="D23" s="6"/>
      <c r="E23" s="6"/>
      <c r="F23" s="6"/>
      <c r="G23" s="6"/>
      <c r="H23" s="6"/>
    </row>
    <row r="24" spans="2:8">
      <c r="B24" t="s">
        <v>14</v>
      </c>
      <c r="C24" s="6"/>
      <c r="D24" s="6">
        <f>D22*35%</f>
        <v>147</v>
      </c>
      <c r="E24" s="6">
        <f>E22*35%</f>
        <v>147</v>
      </c>
      <c r="F24" s="6">
        <f>F22*35%</f>
        <v>147</v>
      </c>
      <c r="G24" s="6">
        <f>G22*35%</f>
        <v>147</v>
      </c>
      <c r="H24" s="6">
        <f>H22*35%</f>
        <v>147</v>
      </c>
    </row>
    <row r="25" spans="2:8">
      <c r="B25" t="s">
        <v>15</v>
      </c>
      <c r="C25" s="6"/>
      <c r="D25" s="6">
        <f>D22-D24</f>
        <v>273</v>
      </c>
      <c r="E25" s="6">
        <f>E22-E24</f>
        <v>273</v>
      </c>
      <c r="F25" s="6">
        <f>F22-F24</f>
        <v>273</v>
      </c>
      <c r="G25" s="6">
        <f>G22-G24</f>
        <v>273</v>
      </c>
      <c r="H25" s="6">
        <f>H22-H24</f>
        <v>273</v>
      </c>
    </row>
    <row r="26" spans="2:8">
      <c r="C26" s="6"/>
      <c r="D26" s="6"/>
      <c r="E26" s="6"/>
      <c r="F26" s="6"/>
      <c r="G26" s="6"/>
      <c r="H26" s="6"/>
    </row>
    <row r="27" spans="2:8">
      <c r="B27" t="s">
        <v>16</v>
      </c>
      <c r="C27" s="6"/>
      <c r="D27" s="6">
        <f>D20+D21+D25</f>
        <v>653</v>
      </c>
      <c r="E27" s="6">
        <f>E20+E21+E25</f>
        <v>653</v>
      </c>
      <c r="F27" s="6">
        <f>F20+F21+F25</f>
        <v>653</v>
      </c>
      <c r="G27" s="6">
        <f>G20+G21+G25</f>
        <v>653</v>
      </c>
      <c r="H27" s="6">
        <f>H20+H21+H25</f>
        <v>653</v>
      </c>
    </row>
    <row r="28" spans="2:8">
      <c r="B28" t="s">
        <v>17</v>
      </c>
      <c r="C28" s="6"/>
      <c r="D28" s="6"/>
      <c r="E28" s="6"/>
      <c r="F28" s="6"/>
      <c r="G28" s="6"/>
      <c r="H28" s="6"/>
    </row>
    <row r="29" spans="2:8">
      <c r="C29" s="6"/>
      <c r="D29" s="6"/>
      <c r="E29" s="6"/>
      <c r="F29" s="6"/>
      <c r="G29" s="6"/>
      <c r="H29" s="6"/>
    </row>
    <row r="30" spans="2:8">
      <c r="C30" s="6"/>
      <c r="D30" s="6"/>
      <c r="E30" s="6"/>
      <c r="F30" s="6"/>
      <c r="G30" s="6"/>
      <c r="H30" s="6"/>
    </row>
    <row r="31" spans="2:8">
      <c r="B31" t="s">
        <v>18</v>
      </c>
      <c r="C31" s="6">
        <f>-C9</f>
        <v>-2000</v>
      </c>
      <c r="D31" s="6">
        <f>D27</f>
        <v>653</v>
      </c>
      <c r="E31" s="6">
        <f>E27</f>
        <v>653</v>
      </c>
      <c r="F31" s="6">
        <f>F27</f>
        <v>653</v>
      </c>
      <c r="G31" s="6">
        <f>G27</f>
        <v>653</v>
      </c>
      <c r="H31" s="6">
        <f>H27+H13</f>
        <v>953</v>
      </c>
    </row>
    <row r="34" spans="1:13">
      <c r="C34" s="11" t="s">
        <v>1</v>
      </c>
      <c r="D34" s="12">
        <f>NPV(0.15,D31:H31)+C31</f>
        <v>338.11029959093275</v>
      </c>
    </row>
    <row r="35" spans="1:13">
      <c r="C35" s="11" t="s">
        <v>0</v>
      </c>
      <c r="D35" s="13">
        <f>IRR(C31:H31)</f>
        <v>0.21575769575999185</v>
      </c>
    </row>
    <row r="40" spans="1:13">
      <c r="K40" t="s">
        <v>21</v>
      </c>
      <c r="L40" s="8">
        <v>5000000</v>
      </c>
    </row>
    <row r="41" spans="1:13">
      <c r="K41" t="s">
        <v>20</v>
      </c>
      <c r="L41" s="8">
        <v>1000000</v>
      </c>
    </row>
    <row r="42" spans="1:13">
      <c r="K42" t="s">
        <v>22</v>
      </c>
      <c r="L42" s="8">
        <v>2000</v>
      </c>
    </row>
    <row r="43" spans="1:13">
      <c r="A43" s="10" t="s">
        <v>29</v>
      </c>
      <c r="B43" t="s">
        <v>35</v>
      </c>
      <c r="C43" s="7">
        <v>0</v>
      </c>
      <c r="D43" s="7">
        <v>1</v>
      </c>
      <c r="E43" s="7">
        <v>2</v>
      </c>
      <c r="F43" s="7">
        <v>3</v>
      </c>
      <c r="G43" s="7">
        <v>4</v>
      </c>
      <c r="H43" s="7">
        <v>5</v>
      </c>
      <c r="K43" t="s">
        <v>23</v>
      </c>
      <c r="L43" s="8" t="s">
        <v>26</v>
      </c>
      <c r="M43">
        <v>30</v>
      </c>
    </row>
    <row r="44" spans="1:13">
      <c r="C44" s="6"/>
      <c r="D44" s="6"/>
      <c r="E44" s="6"/>
      <c r="F44" s="6"/>
      <c r="G44" s="6"/>
      <c r="H44" s="6"/>
      <c r="K44" t="s">
        <v>24</v>
      </c>
      <c r="L44" s="8" t="s">
        <v>25</v>
      </c>
      <c r="M44">
        <v>25</v>
      </c>
    </row>
    <row r="45" spans="1:13">
      <c r="B45" t="s">
        <v>2</v>
      </c>
      <c r="C45" s="6">
        <v>1800</v>
      </c>
      <c r="D45" s="6"/>
      <c r="E45" s="6"/>
      <c r="F45" s="6"/>
      <c r="G45" s="6"/>
      <c r="H45" s="6"/>
    </row>
    <row r="46" spans="1:13">
      <c r="B46" t="s">
        <v>3</v>
      </c>
      <c r="C46" s="6">
        <v>200</v>
      </c>
      <c r="D46" s="6"/>
      <c r="E46" s="6"/>
      <c r="F46" s="6"/>
      <c r="G46" s="6"/>
      <c r="H46" s="6"/>
    </row>
    <row r="47" spans="1:13">
      <c r="B47" t="s">
        <v>4</v>
      </c>
      <c r="C47" s="6">
        <f>C45+C46</f>
        <v>2000</v>
      </c>
      <c r="D47" s="6"/>
      <c r="E47" s="6"/>
      <c r="F47" s="6"/>
      <c r="G47" s="6"/>
      <c r="H47" s="6"/>
    </row>
    <row r="48" spans="1:13">
      <c r="C48" s="6"/>
      <c r="D48" s="6"/>
      <c r="E48" s="6"/>
      <c r="F48" s="6"/>
      <c r="G48" s="6"/>
      <c r="H48" s="6"/>
    </row>
    <row r="49" spans="2:8">
      <c r="B49" t="s">
        <v>5</v>
      </c>
      <c r="C49" s="6"/>
      <c r="D49" s="6"/>
      <c r="E49" s="6"/>
      <c r="F49" s="6"/>
      <c r="G49" s="6"/>
      <c r="H49" s="6"/>
    </row>
    <row r="50" spans="2:8">
      <c r="B50" t="s">
        <v>6</v>
      </c>
      <c r="C50" s="6">
        <f>C47</f>
        <v>2000</v>
      </c>
      <c r="D50" s="6"/>
      <c r="E50" s="6"/>
      <c r="F50" s="6"/>
      <c r="G50" s="6"/>
      <c r="H50" s="6"/>
    </row>
    <row r="51" spans="2:8">
      <c r="B51" t="s">
        <v>7</v>
      </c>
      <c r="C51" s="6"/>
      <c r="D51" s="6"/>
      <c r="E51" s="6"/>
      <c r="F51" s="6"/>
      <c r="G51" s="6"/>
      <c r="H51" s="6">
        <v>300</v>
      </c>
    </row>
    <row r="52" spans="2:8">
      <c r="C52" s="6"/>
      <c r="D52" s="6"/>
      <c r="E52" s="6"/>
      <c r="F52" s="6"/>
      <c r="G52" s="6"/>
      <c r="H52" s="6"/>
    </row>
    <row r="53" spans="2:8">
      <c r="B53" t="s">
        <v>19</v>
      </c>
      <c r="C53" s="6"/>
      <c r="D53" s="6">
        <v>2000</v>
      </c>
      <c r="E53" s="6">
        <v>2000</v>
      </c>
      <c r="F53" s="6">
        <v>2000</v>
      </c>
      <c r="G53" s="6">
        <v>2000</v>
      </c>
      <c r="H53" s="6">
        <v>2000</v>
      </c>
    </row>
    <row r="54" spans="2:8">
      <c r="B54" t="s">
        <v>8</v>
      </c>
      <c r="C54" s="6"/>
      <c r="D54" s="6">
        <v>1200</v>
      </c>
      <c r="E54" s="6">
        <v>1200</v>
      </c>
      <c r="F54" s="6">
        <v>1200</v>
      </c>
      <c r="G54" s="6">
        <v>1200</v>
      </c>
      <c r="H54" s="6">
        <v>1200</v>
      </c>
    </row>
    <row r="55" spans="2:8">
      <c r="B55" t="s">
        <v>9</v>
      </c>
      <c r="C55" s="6"/>
      <c r="D55" s="6"/>
      <c r="E55" s="6"/>
      <c r="F55" s="6"/>
      <c r="G55" s="6"/>
      <c r="H55" s="6"/>
    </row>
    <row r="56" spans="2:8">
      <c r="B56" t="s">
        <v>10</v>
      </c>
      <c r="C56" s="6"/>
      <c r="D56" s="6">
        <f>D53-D54</f>
        <v>800</v>
      </c>
      <c r="E56" s="6">
        <f>E53-E54</f>
        <v>800</v>
      </c>
      <c r="F56" s="6">
        <f>F53-F54</f>
        <v>800</v>
      </c>
      <c r="G56" s="6">
        <f>G53-G54</f>
        <v>800</v>
      </c>
      <c r="H56" s="6">
        <f>H53-H54</f>
        <v>800</v>
      </c>
    </row>
    <row r="57" spans="2:8">
      <c r="C57" s="6"/>
      <c r="D57" s="6"/>
      <c r="E57" s="6"/>
      <c r="F57" s="6"/>
      <c r="G57" s="6"/>
      <c r="H57" s="6"/>
    </row>
    <row r="58" spans="2:8">
      <c r="B58" t="s">
        <v>11</v>
      </c>
      <c r="C58" s="6"/>
      <c r="D58" s="6">
        <v>400</v>
      </c>
      <c r="E58" s="6">
        <v>240</v>
      </c>
      <c r="F58" s="6">
        <v>144</v>
      </c>
      <c r="G58" s="6">
        <v>86.4</v>
      </c>
      <c r="H58" s="6">
        <v>29.6</v>
      </c>
    </row>
    <row r="59" spans="2:8">
      <c r="B59" t="s">
        <v>12</v>
      </c>
      <c r="C59" s="6"/>
      <c r="D59" s="6">
        <f>(D56-D58)*30%</f>
        <v>120</v>
      </c>
      <c r="E59" s="6">
        <f>(E56-E58)*30%</f>
        <v>168</v>
      </c>
      <c r="F59" s="6">
        <f>(F56-F58)*30%</f>
        <v>196.79999999999998</v>
      </c>
      <c r="G59" s="6">
        <f>(G56-G58)*30%</f>
        <v>214.08</v>
      </c>
      <c r="H59" s="6">
        <f>(H56-H58)*30%</f>
        <v>231.11999999999998</v>
      </c>
    </row>
    <row r="60" spans="2:8">
      <c r="B60" t="s">
        <v>13</v>
      </c>
      <c r="C60" s="6"/>
      <c r="D60" s="6">
        <f>D56-D58-D59</f>
        <v>280</v>
      </c>
      <c r="E60" s="6">
        <f>E56-E58-E59</f>
        <v>392</v>
      </c>
      <c r="F60" s="6">
        <f>F56-F58-F59</f>
        <v>459.20000000000005</v>
      </c>
      <c r="G60" s="6">
        <f>G56-G58-G59</f>
        <v>499.52</v>
      </c>
      <c r="H60" s="6">
        <f>H56-H58-H59</f>
        <v>539.28</v>
      </c>
    </row>
    <row r="61" spans="2:8">
      <c r="C61" s="6"/>
      <c r="D61" s="6"/>
      <c r="E61" s="6"/>
      <c r="F61" s="6"/>
      <c r="G61" s="6"/>
      <c r="H61" s="6"/>
    </row>
    <row r="62" spans="2:8">
      <c r="B62" t="s">
        <v>14</v>
      </c>
      <c r="C62" s="6"/>
      <c r="D62" s="6">
        <f>D60*35%</f>
        <v>98</v>
      </c>
      <c r="E62" s="6">
        <f>E60*35%</f>
        <v>137.19999999999999</v>
      </c>
      <c r="F62" s="6">
        <f>F60*35%</f>
        <v>160.72</v>
      </c>
      <c r="G62" s="6">
        <f>G60*35%</f>
        <v>174.83199999999999</v>
      </c>
      <c r="H62" s="6">
        <f>H60*35%</f>
        <v>188.74799999999999</v>
      </c>
    </row>
    <row r="63" spans="2:8">
      <c r="B63" t="s">
        <v>15</v>
      </c>
      <c r="C63" s="6"/>
      <c r="D63" s="6">
        <f>D60-D62</f>
        <v>182</v>
      </c>
      <c r="E63" s="6">
        <f>E60-E62</f>
        <v>254.8</v>
      </c>
      <c r="F63" s="6">
        <f>F60-F62</f>
        <v>298.48</v>
      </c>
      <c r="G63" s="6">
        <f>G60-G62</f>
        <v>324.68799999999999</v>
      </c>
      <c r="H63" s="6">
        <f>H60-H62</f>
        <v>350.53199999999998</v>
      </c>
    </row>
    <row r="64" spans="2:8">
      <c r="C64" s="6"/>
      <c r="D64" s="6"/>
      <c r="E64" s="6"/>
      <c r="F64" s="6"/>
      <c r="G64" s="6"/>
      <c r="H64" s="6"/>
    </row>
    <row r="65" spans="1:13">
      <c r="B65" t="s">
        <v>16</v>
      </c>
      <c r="C65" s="6"/>
      <c r="D65" s="6">
        <f>D58+D59+D63</f>
        <v>702</v>
      </c>
      <c r="E65" s="6">
        <f>E58+E59+E63</f>
        <v>662.8</v>
      </c>
      <c r="F65" s="6">
        <f>F58+F59+F63</f>
        <v>639.28</v>
      </c>
      <c r="G65" s="6">
        <f>G58+G59+G63</f>
        <v>625.16800000000001</v>
      </c>
      <c r="H65" s="6">
        <f>H58+H59+H63</f>
        <v>611.25199999999995</v>
      </c>
    </row>
    <row r="66" spans="1:13">
      <c r="B66" t="s">
        <v>17</v>
      </c>
      <c r="C66" s="6"/>
      <c r="D66" s="6"/>
      <c r="E66" s="6"/>
      <c r="F66" s="6"/>
      <c r="G66" s="6"/>
      <c r="H66" s="6"/>
    </row>
    <row r="67" spans="1:13">
      <c r="C67" s="6"/>
      <c r="D67" s="6"/>
      <c r="E67" s="6"/>
      <c r="F67" s="6"/>
      <c r="G67" s="6"/>
      <c r="H67" s="6"/>
    </row>
    <row r="68" spans="1:13">
      <c r="C68" s="6"/>
      <c r="D68" s="6"/>
      <c r="E68" s="6"/>
      <c r="F68" s="6"/>
      <c r="G68" s="6"/>
      <c r="H68" s="6"/>
    </row>
    <row r="69" spans="1:13">
      <c r="B69" t="s">
        <v>18</v>
      </c>
      <c r="C69" s="6">
        <f>-C47</f>
        <v>-2000</v>
      </c>
      <c r="D69" s="6">
        <f>D65</f>
        <v>702</v>
      </c>
      <c r="E69" s="6">
        <f>E65</f>
        <v>662.8</v>
      </c>
      <c r="F69" s="6">
        <f>F65</f>
        <v>639.28</v>
      </c>
      <c r="G69" s="6">
        <f>G65</f>
        <v>625.16800000000001</v>
      </c>
      <c r="H69" s="6">
        <f>H65+H51</f>
        <v>911.25199999999995</v>
      </c>
    </row>
    <row r="72" spans="1:13">
      <c r="C72" s="11" t="s">
        <v>1</v>
      </c>
      <c r="D72" s="12">
        <f>NPV(0.15,D69:H69)+C69</f>
        <v>342.43890979706975</v>
      </c>
    </row>
    <row r="73" spans="1:13">
      <c r="C73" s="11" t="s">
        <v>0</v>
      </c>
      <c r="D73" s="13">
        <f>IRR(C69:H69)</f>
        <v>0.21820884129633603</v>
      </c>
    </row>
    <row r="77" spans="1:13">
      <c r="K77" t="s">
        <v>21</v>
      </c>
      <c r="L77" s="8">
        <v>5000000</v>
      </c>
    </row>
    <row r="78" spans="1:13">
      <c r="K78" t="s">
        <v>20</v>
      </c>
      <c r="L78" s="8">
        <v>1000000</v>
      </c>
    </row>
    <row r="79" spans="1:13">
      <c r="K79" t="s">
        <v>22</v>
      </c>
      <c r="L79" s="8">
        <v>2000</v>
      </c>
    </row>
    <row r="80" spans="1:13">
      <c r="A80" s="10" t="s">
        <v>30</v>
      </c>
      <c r="B80" t="s">
        <v>35</v>
      </c>
      <c r="C80" s="7">
        <v>0</v>
      </c>
      <c r="D80" s="7">
        <v>1</v>
      </c>
      <c r="E80" s="7">
        <v>2</v>
      </c>
      <c r="F80" s="7">
        <v>3</v>
      </c>
      <c r="G80" s="7">
        <v>4</v>
      </c>
      <c r="H80" s="7">
        <v>5</v>
      </c>
      <c r="K80" t="s">
        <v>23</v>
      </c>
      <c r="L80" s="8" t="s">
        <v>26</v>
      </c>
      <c r="M80">
        <v>30</v>
      </c>
    </row>
    <row r="81" spans="2:13">
      <c r="C81" s="6"/>
      <c r="D81" s="6"/>
      <c r="E81" s="6"/>
      <c r="F81" s="6"/>
      <c r="G81" s="6"/>
      <c r="H81" s="6"/>
      <c r="K81" t="s">
        <v>24</v>
      </c>
      <c r="L81" s="8" t="s">
        <v>25</v>
      </c>
      <c r="M81">
        <v>25</v>
      </c>
    </row>
    <row r="82" spans="2:13">
      <c r="B82" t="s">
        <v>2</v>
      </c>
      <c r="C82" s="6">
        <v>1800</v>
      </c>
      <c r="D82" s="6"/>
      <c r="E82" s="6"/>
      <c r="F82" s="6"/>
      <c r="G82" s="6"/>
      <c r="H82" s="6"/>
    </row>
    <row r="83" spans="2:13">
      <c r="B83" t="s">
        <v>3</v>
      </c>
      <c r="C83" s="6">
        <v>200</v>
      </c>
      <c r="D83" s="6"/>
      <c r="E83" s="6"/>
      <c r="F83" s="6"/>
      <c r="G83" s="6"/>
      <c r="H83" s="6"/>
    </row>
    <row r="84" spans="2:13">
      <c r="B84" t="s">
        <v>4</v>
      </c>
      <c r="C84" s="6">
        <f>C82+C83</f>
        <v>2000</v>
      </c>
      <c r="D84" s="6"/>
      <c r="E84" s="6"/>
      <c r="F84" s="6"/>
      <c r="G84" s="6"/>
      <c r="H84" s="6"/>
    </row>
    <row r="85" spans="2:13">
      <c r="C85" s="6"/>
      <c r="D85" s="6"/>
      <c r="E85" s="6"/>
      <c r="F85" s="6"/>
      <c r="G85" s="6"/>
      <c r="H85" s="6"/>
    </row>
    <row r="86" spans="2:13">
      <c r="B86" t="s">
        <v>5</v>
      </c>
      <c r="C86" s="6">
        <v>1000</v>
      </c>
      <c r="D86" s="6"/>
      <c r="E86" s="6"/>
      <c r="F86" s="6"/>
      <c r="G86" s="6"/>
      <c r="H86" s="6"/>
    </row>
    <row r="87" spans="2:13">
      <c r="B87" t="s">
        <v>6</v>
      </c>
      <c r="C87" s="6">
        <v>1000</v>
      </c>
      <c r="D87" s="6"/>
      <c r="E87" s="6"/>
      <c r="F87" s="6"/>
      <c r="G87" s="6"/>
      <c r="H87" s="6"/>
    </row>
    <row r="88" spans="2:13">
      <c r="B88" t="s">
        <v>7</v>
      </c>
      <c r="C88" s="6"/>
      <c r="D88" s="6"/>
      <c r="E88" s="6"/>
      <c r="F88" s="6"/>
      <c r="G88" s="6"/>
      <c r="H88" s="6">
        <v>300</v>
      </c>
    </row>
    <row r="89" spans="2:13">
      <c r="C89" s="6"/>
      <c r="D89" s="6"/>
      <c r="E89" s="6"/>
      <c r="F89" s="6"/>
      <c r="G89" s="6"/>
      <c r="H89" s="6"/>
    </row>
    <row r="90" spans="2:13">
      <c r="B90" t="s">
        <v>19</v>
      </c>
      <c r="C90" s="6"/>
      <c r="D90" s="6">
        <v>2000</v>
      </c>
      <c r="E90" s="6">
        <v>2000</v>
      </c>
      <c r="F90" s="6">
        <v>2000</v>
      </c>
      <c r="G90" s="6">
        <v>2000</v>
      </c>
      <c r="H90" s="6">
        <v>2000</v>
      </c>
    </row>
    <row r="91" spans="2:13">
      <c r="B91" t="s">
        <v>8</v>
      </c>
      <c r="C91" s="6"/>
      <c r="D91" s="6">
        <v>1200</v>
      </c>
      <c r="E91" s="6">
        <v>1200</v>
      </c>
      <c r="F91" s="6">
        <v>1200</v>
      </c>
      <c r="G91" s="6">
        <v>1200</v>
      </c>
      <c r="H91" s="6">
        <v>1200</v>
      </c>
    </row>
    <row r="92" spans="2:13">
      <c r="B92" t="s">
        <v>9</v>
      </c>
      <c r="C92" s="6"/>
      <c r="D92" s="6">
        <v>100</v>
      </c>
      <c r="E92" s="6">
        <v>80</v>
      </c>
      <c r="F92" s="6">
        <v>60</v>
      </c>
      <c r="G92" s="6">
        <v>40</v>
      </c>
      <c r="H92" s="6">
        <v>20</v>
      </c>
    </row>
    <row r="93" spans="2:13">
      <c r="B93" t="s">
        <v>10</v>
      </c>
      <c r="C93" s="6"/>
      <c r="D93" s="6">
        <f>D90-D91-D92</f>
        <v>700</v>
      </c>
      <c r="E93" s="6">
        <f>E90-E91-E92</f>
        <v>720</v>
      </c>
      <c r="F93" s="6">
        <f>F90-F91-F92</f>
        <v>740</v>
      </c>
      <c r="G93" s="6">
        <f>G90-G91-G92</f>
        <v>760</v>
      </c>
      <c r="H93" s="6">
        <f>H90-H91-H92</f>
        <v>780</v>
      </c>
    </row>
    <row r="94" spans="2:13">
      <c r="C94" s="6"/>
      <c r="D94" s="6"/>
      <c r="E94" s="6"/>
      <c r="F94" s="6"/>
      <c r="G94" s="6"/>
      <c r="H94" s="6"/>
    </row>
    <row r="95" spans="2:13">
      <c r="B95" t="s">
        <v>11</v>
      </c>
      <c r="C95" s="6"/>
      <c r="D95" s="6">
        <v>200</v>
      </c>
      <c r="E95" s="6">
        <v>200</v>
      </c>
      <c r="F95" s="6">
        <v>200</v>
      </c>
      <c r="G95" s="6">
        <v>200</v>
      </c>
      <c r="H95" s="6">
        <v>200</v>
      </c>
    </row>
    <row r="96" spans="2:13">
      <c r="B96" t="s">
        <v>12</v>
      </c>
      <c r="C96" s="6"/>
      <c r="D96" s="6">
        <f>(D93-D95)*30%</f>
        <v>150</v>
      </c>
      <c r="E96" s="6">
        <f>(E93-E95)*30%</f>
        <v>156</v>
      </c>
      <c r="F96" s="6">
        <f>(F93-F95)*30%</f>
        <v>162</v>
      </c>
      <c r="G96" s="6">
        <f>(G93-G95)*30%</f>
        <v>168</v>
      </c>
      <c r="H96" s="6">
        <f>(H93-H95)*30%</f>
        <v>174</v>
      </c>
    </row>
    <row r="97" spans="2:8">
      <c r="B97" t="s">
        <v>13</v>
      </c>
      <c r="C97" s="6"/>
      <c r="D97" s="6">
        <f>D93-D95-D96</f>
        <v>350</v>
      </c>
      <c r="E97" s="6">
        <f>E93-E95-E96</f>
        <v>364</v>
      </c>
      <c r="F97" s="6">
        <f>F93-F95-F96</f>
        <v>378</v>
      </c>
      <c r="G97" s="6">
        <f>G93-G95-G96</f>
        <v>392</v>
      </c>
      <c r="H97" s="6">
        <f>H93-H95-H96</f>
        <v>406</v>
      </c>
    </row>
    <row r="98" spans="2:8">
      <c r="C98" s="6"/>
      <c r="D98" s="6"/>
      <c r="E98" s="6"/>
      <c r="F98" s="6"/>
      <c r="G98" s="6"/>
      <c r="H98" s="6"/>
    </row>
    <row r="99" spans="2:8">
      <c r="B99" t="s">
        <v>14</v>
      </c>
      <c r="C99" s="6"/>
      <c r="D99" s="6">
        <f>D97*35%</f>
        <v>122.49999999999999</v>
      </c>
      <c r="E99" s="6">
        <f>E97*35%</f>
        <v>127.39999999999999</v>
      </c>
      <c r="F99" s="6">
        <f>F97*35%</f>
        <v>132.29999999999998</v>
      </c>
      <c r="G99" s="6">
        <f>G97*35%</f>
        <v>137.19999999999999</v>
      </c>
      <c r="H99" s="6">
        <f>H97*35%</f>
        <v>142.1</v>
      </c>
    </row>
    <row r="100" spans="2:8">
      <c r="B100" t="s">
        <v>15</v>
      </c>
      <c r="C100" s="6"/>
      <c r="D100" s="6">
        <f>D97-D99</f>
        <v>227.5</v>
      </c>
      <c r="E100" s="6">
        <f>E97-E99</f>
        <v>236.60000000000002</v>
      </c>
      <c r="F100" s="6">
        <f>F97-F99</f>
        <v>245.70000000000002</v>
      </c>
      <c r="G100" s="6">
        <f>G97-G99</f>
        <v>254.8</v>
      </c>
      <c r="H100" s="6">
        <f>H97-H99</f>
        <v>263.89999999999998</v>
      </c>
    </row>
    <row r="101" spans="2:8">
      <c r="C101" s="6"/>
      <c r="D101" s="6"/>
      <c r="E101" s="6"/>
      <c r="F101" s="6"/>
      <c r="G101" s="6"/>
      <c r="H101" s="6"/>
    </row>
    <row r="102" spans="2:8">
      <c r="B102" t="s">
        <v>16</v>
      </c>
      <c r="C102" s="6"/>
      <c r="D102" s="6">
        <f>D95+D96+D100</f>
        <v>577.5</v>
      </c>
      <c r="E102" s="6">
        <f>E95+E96+E100</f>
        <v>592.6</v>
      </c>
      <c r="F102" s="6">
        <f>F95+F96+F100</f>
        <v>607.70000000000005</v>
      </c>
      <c r="G102" s="6">
        <f>G95+G96+G100</f>
        <v>622.79999999999995</v>
      </c>
      <c r="H102" s="6">
        <f>H95+H96+H100</f>
        <v>637.9</v>
      </c>
    </row>
    <row r="103" spans="2:8">
      <c r="B103" t="s">
        <v>17</v>
      </c>
      <c r="C103" s="6"/>
      <c r="D103" s="6">
        <v>200</v>
      </c>
      <c r="E103" s="6">
        <v>200</v>
      </c>
      <c r="F103" s="6">
        <v>200</v>
      </c>
      <c r="G103" s="6">
        <v>200</v>
      </c>
      <c r="H103" s="6">
        <v>200</v>
      </c>
    </row>
    <row r="104" spans="2:8">
      <c r="C104" s="6"/>
      <c r="D104" s="6"/>
      <c r="E104" s="6"/>
      <c r="F104" s="6"/>
      <c r="G104" s="6"/>
      <c r="H104" s="6"/>
    </row>
    <row r="105" spans="2:8">
      <c r="C105" s="6"/>
      <c r="D105" s="6"/>
      <c r="E105" s="6"/>
      <c r="F105" s="6"/>
      <c r="G105" s="6"/>
      <c r="H105" s="6"/>
    </row>
    <row r="106" spans="2:8">
      <c r="B106" t="s">
        <v>18</v>
      </c>
      <c r="C106" s="6">
        <f>-C87</f>
        <v>-1000</v>
      </c>
      <c r="D106" s="6">
        <f>D102-D103</f>
        <v>377.5</v>
      </c>
      <c r="E106" s="6">
        <f>E102-E103</f>
        <v>392.6</v>
      </c>
      <c r="F106" s="6">
        <f>F102-F103</f>
        <v>407.70000000000005</v>
      </c>
      <c r="G106" s="6">
        <f>G102-G103</f>
        <v>422.79999999999995</v>
      </c>
      <c r="H106" s="6">
        <f>H102-H103+H88</f>
        <v>737.9</v>
      </c>
    </row>
    <row r="109" spans="2:8">
      <c r="C109" s="11" t="s">
        <v>1</v>
      </c>
      <c r="D109" s="12">
        <f>NPV(0.15,D106:H106)+C106</f>
        <v>501.79622652180001</v>
      </c>
    </row>
    <row r="110" spans="2:8">
      <c r="C110" s="11" t="s">
        <v>0</v>
      </c>
      <c r="D110" s="13">
        <f>IRR(C106:H106)</f>
        <v>0.32580836506671601</v>
      </c>
    </row>
    <row r="115" spans="1:13">
      <c r="K115" t="s">
        <v>21</v>
      </c>
      <c r="L115" s="8">
        <v>5000000</v>
      </c>
    </row>
    <row r="116" spans="1:13">
      <c r="K116" t="s">
        <v>20</v>
      </c>
      <c r="L116" s="8">
        <v>1000000</v>
      </c>
    </row>
    <row r="117" spans="1:13">
      <c r="K117" t="s">
        <v>22</v>
      </c>
      <c r="L117" s="8">
        <v>2000</v>
      </c>
    </row>
    <row r="118" spans="1:13">
      <c r="A118" s="10" t="s">
        <v>31</v>
      </c>
      <c r="B118" t="s">
        <v>35</v>
      </c>
      <c r="C118" s="7">
        <v>0</v>
      </c>
      <c r="D118" s="7">
        <v>1</v>
      </c>
      <c r="E118" s="7">
        <v>2</v>
      </c>
      <c r="F118" s="7">
        <v>3</v>
      </c>
      <c r="G118" s="7">
        <v>4</v>
      </c>
      <c r="H118" s="7">
        <v>5</v>
      </c>
      <c r="K118" t="s">
        <v>23</v>
      </c>
      <c r="L118" s="8" t="s">
        <v>26</v>
      </c>
      <c r="M118">
        <v>30</v>
      </c>
    </row>
    <row r="119" spans="1:13">
      <c r="C119" s="6"/>
      <c r="D119" s="6"/>
      <c r="E119" s="6"/>
      <c r="F119" s="6"/>
      <c r="G119" s="6"/>
      <c r="H119" s="6"/>
      <c r="K119" t="s">
        <v>24</v>
      </c>
      <c r="L119" s="8" t="s">
        <v>25</v>
      </c>
      <c r="M119">
        <v>25</v>
      </c>
    </row>
    <row r="120" spans="1:13">
      <c r="B120" t="s">
        <v>2</v>
      </c>
      <c r="C120" s="6">
        <v>1800</v>
      </c>
      <c r="D120" s="6"/>
      <c r="E120" s="6"/>
      <c r="F120" s="6"/>
      <c r="G120" s="6"/>
      <c r="H120" s="6"/>
    </row>
    <row r="121" spans="1:13">
      <c r="B121" t="s">
        <v>3</v>
      </c>
      <c r="C121" s="6">
        <v>200</v>
      </c>
      <c r="D121" s="6"/>
      <c r="E121" s="6"/>
      <c r="F121" s="6"/>
      <c r="G121" s="6"/>
      <c r="H121" s="6"/>
    </row>
    <row r="122" spans="1:13">
      <c r="B122" t="s">
        <v>4</v>
      </c>
      <c r="C122" s="6">
        <f>C120+C121</f>
        <v>2000</v>
      </c>
      <c r="D122" s="6"/>
      <c r="E122" s="6"/>
      <c r="F122" s="6"/>
      <c r="G122" s="6"/>
      <c r="H122" s="6"/>
    </row>
    <row r="123" spans="1:13">
      <c r="C123" s="6"/>
      <c r="D123" s="6"/>
      <c r="E123" s="6"/>
      <c r="F123" s="6"/>
      <c r="G123" s="6"/>
      <c r="H123" s="6"/>
    </row>
    <row r="124" spans="1:13">
      <c r="B124" t="s">
        <v>5</v>
      </c>
      <c r="C124" s="6">
        <v>1000</v>
      </c>
      <c r="D124" s="6"/>
      <c r="E124" s="6"/>
      <c r="F124" s="6"/>
      <c r="G124" s="6"/>
      <c r="H124" s="6"/>
    </row>
    <row r="125" spans="1:13">
      <c r="B125" t="s">
        <v>6</v>
      </c>
      <c r="C125" s="6">
        <v>1000</v>
      </c>
      <c r="D125" s="6"/>
      <c r="E125" s="6"/>
      <c r="F125" s="6"/>
      <c r="G125" s="6"/>
      <c r="H125" s="6"/>
    </row>
    <row r="126" spans="1:13">
      <c r="B126" t="s">
        <v>7</v>
      </c>
      <c r="C126" s="6"/>
      <c r="D126" s="6"/>
      <c r="E126" s="6"/>
      <c r="F126" s="6"/>
      <c r="G126" s="6"/>
      <c r="H126" s="6">
        <v>300</v>
      </c>
    </row>
    <row r="127" spans="1:13">
      <c r="C127" s="6"/>
      <c r="D127" s="6"/>
      <c r="E127" s="6"/>
      <c r="F127" s="6"/>
      <c r="G127" s="6"/>
      <c r="H127" s="6"/>
    </row>
    <row r="128" spans="1:13">
      <c r="B128" t="s">
        <v>19</v>
      </c>
      <c r="C128" s="6"/>
      <c r="D128" s="6">
        <v>2000</v>
      </c>
      <c r="E128" s="6">
        <v>2000</v>
      </c>
      <c r="F128" s="6">
        <v>2000</v>
      </c>
      <c r="G128" s="6">
        <v>2000</v>
      </c>
      <c r="H128" s="6">
        <v>2000</v>
      </c>
    </row>
    <row r="129" spans="2:8">
      <c r="B129" t="s">
        <v>8</v>
      </c>
      <c r="C129" s="6"/>
      <c r="D129" s="6">
        <v>1200</v>
      </c>
      <c r="E129" s="6">
        <v>1200</v>
      </c>
      <c r="F129" s="6">
        <v>1200</v>
      </c>
      <c r="G129" s="6">
        <v>1200</v>
      </c>
      <c r="H129" s="6">
        <v>1200</v>
      </c>
    </row>
    <row r="130" spans="2:8">
      <c r="B130" t="s">
        <v>9</v>
      </c>
      <c r="C130" s="6"/>
      <c r="D130" s="6">
        <v>100</v>
      </c>
      <c r="E130" s="6">
        <v>80</v>
      </c>
      <c r="F130" s="6">
        <v>60</v>
      </c>
      <c r="G130" s="6">
        <v>40</v>
      </c>
      <c r="H130" s="6">
        <v>20</v>
      </c>
    </row>
    <row r="131" spans="2:8">
      <c r="B131" t="s">
        <v>10</v>
      </c>
      <c r="C131" s="6"/>
      <c r="D131" s="6">
        <f>D128-D129-D130</f>
        <v>700</v>
      </c>
      <c r="E131" s="6">
        <f t="shared" ref="E131:H131" si="0">E128-E129-E130</f>
        <v>720</v>
      </c>
      <c r="F131" s="6">
        <f t="shared" si="0"/>
        <v>740</v>
      </c>
      <c r="G131" s="6">
        <f t="shared" si="0"/>
        <v>760</v>
      </c>
      <c r="H131" s="6">
        <f t="shared" si="0"/>
        <v>780</v>
      </c>
    </row>
    <row r="132" spans="2:8">
      <c r="C132" s="6"/>
      <c r="D132" s="6"/>
      <c r="E132" s="6"/>
      <c r="F132" s="6"/>
      <c r="G132" s="6"/>
      <c r="H132" s="6"/>
    </row>
    <row r="133" spans="2:8">
      <c r="B133" t="s">
        <v>11</v>
      </c>
      <c r="C133" s="6"/>
      <c r="D133" s="6">
        <v>400</v>
      </c>
      <c r="E133" s="6">
        <v>240</v>
      </c>
      <c r="F133" s="6">
        <v>144</v>
      </c>
      <c r="G133" s="6">
        <v>86.4</v>
      </c>
      <c r="H133" s="6">
        <v>29.6</v>
      </c>
    </row>
    <row r="134" spans="2:8">
      <c r="B134" t="s">
        <v>12</v>
      </c>
      <c r="C134" s="6"/>
      <c r="D134" s="6">
        <f>(D131-D133)*30%</f>
        <v>90</v>
      </c>
      <c r="E134" s="6">
        <f>(E131-E133)*30%</f>
        <v>144</v>
      </c>
      <c r="F134" s="6">
        <f>(F131-F133)*30%</f>
        <v>178.79999999999998</v>
      </c>
      <c r="G134" s="6">
        <f>(G131-G133)*30%</f>
        <v>202.08</v>
      </c>
      <c r="H134" s="6">
        <f>(H131-H133)*30%</f>
        <v>225.11999999999998</v>
      </c>
    </row>
    <row r="135" spans="2:8">
      <c r="B135" t="s">
        <v>13</v>
      </c>
      <c r="C135" s="6"/>
      <c r="D135" s="6">
        <f>D131-D133-D134</f>
        <v>210</v>
      </c>
      <c r="E135" s="6">
        <f>E131-E133-E134</f>
        <v>336</v>
      </c>
      <c r="F135" s="6">
        <f>F131-F133-F134</f>
        <v>417.20000000000005</v>
      </c>
      <c r="G135" s="6">
        <f>G131-G133-G134</f>
        <v>471.52</v>
      </c>
      <c r="H135" s="6">
        <f>H131-H133-H134</f>
        <v>525.28</v>
      </c>
    </row>
    <row r="136" spans="2:8">
      <c r="C136" s="6"/>
      <c r="D136" s="6"/>
      <c r="E136" s="6"/>
      <c r="F136" s="6"/>
      <c r="G136" s="6"/>
      <c r="H136" s="6"/>
    </row>
    <row r="137" spans="2:8">
      <c r="B137" t="s">
        <v>14</v>
      </c>
      <c r="C137" s="6"/>
      <c r="D137" s="6">
        <f>D135*35%</f>
        <v>73.5</v>
      </c>
      <c r="E137" s="6">
        <f>E135*35%</f>
        <v>117.6</v>
      </c>
      <c r="F137" s="6">
        <f>F135*35%</f>
        <v>146.02000000000001</v>
      </c>
      <c r="G137" s="6">
        <f>G135*35%</f>
        <v>165.03199999999998</v>
      </c>
      <c r="H137" s="6">
        <f>H135*35%</f>
        <v>183.84799999999998</v>
      </c>
    </row>
    <row r="138" spans="2:8">
      <c r="B138" t="s">
        <v>15</v>
      </c>
      <c r="C138" s="6"/>
      <c r="D138" s="6">
        <f>D135-D137</f>
        <v>136.5</v>
      </c>
      <c r="E138" s="6">
        <f>E135-E137</f>
        <v>218.4</v>
      </c>
      <c r="F138" s="6">
        <f>F135-F137</f>
        <v>271.18000000000006</v>
      </c>
      <c r="G138" s="6">
        <f>G135-G137</f>
        <v>306.488</v>
      </c>
      <c r="H138" s="6">
        <f>H135-H137</f>
        <v>341.43200000000002</v>
      </c>
    </row>
    <row r="139" spans="2:8">
      <c r="C139" s="6"/>
      <c r="D139" s="6"/>
      <c r="E139" s="6"/>
      <c r="F139" s="6"/>
      <c r="G139" s="6"/>
      <c r="H139" s="6"/>
    </row>
    <row r="140" spans="2:8">
      <c r="B140" t="s">
        <v>16</v>
      </c>
      <c r="C140" s="6"/>
      <c r="D140" s="6">
        <f>D133+D134+D138</f>
        <v>626.5</v>
      </c>
      <c r="E140" s="6">
        <f>E133+E134+E138</f>
        <v>602.4</v>
      </c>
      <c r="F140" s="6">
        <f>F133+F134+F138</f>
        <v>593.98</v>
      </c>
      <c r="G140" s="6">
        <f>G133+G134+G138</f>
        <v>594.96800000000007</v>
      </c>
      <c r="H140" s="6">
        <f>H133+H134+H138</f>
        <v>596.15200000000004</v>
      </c>
    </row>
    <row r="141" spans="2:8">
      <c r="B141" t="s">
        <v>17</v>
      </c>
      <c r="C141" s="6"/>
      <c r="D141" s="6">
        <v>200</v>
      </c>
      <c r="E141" s="6">
        <v>200</v>
      </c>
      <c r="F141" s="6">
        <v>200</v>
      </c>
      <c r="G141" s="6">
        <v>200</v>
      </c>
      <c r="H141" s="6">
        <v>200</v>
      </c>
    </row>
    <row r="142" spans="2:8">
      <c r="C142" s="6"/>
      <c r="D142" s="6"/>
      <c r="E142" s="6"/>
      <c r="F142" s="6"/>
      <c r="G142" s="6"/>
      <c r="H142" s="6"/>
    </row>
    <row r="143" spans="2:8">
      <c r="C143" s="6"/>
      <c r="D143" s="6"/>
      <c r="E143" s="6"/>
      <c r="F143" s="6"/>
      <c r="G143" s="6"/>
      <c r="H143" s="6"/>
    </row>
    <row r="144" spans="2:8">
      <c r="B144" t="s">
        <v>18</v>
      </c>
      <c r="C144" s="6">
        <f>-C125</f>
        <v>-1000</v>
      </c>
      <c r="D144" s="6">
        <f>D140-D141</f>
        <v>426.5</v>
      </c>
      <c r="E144" s="6">
        <f t="shared" ref="E144:G144" si="1">E140-E141</f>
        <v>402.4</v>
      </c>
      <c r="F144" s="6">
        <f t="shared" si="1"/>
        <v>393.98</v>
      </c>
      <c r="G144" s="6">
        <f t="shared" si="1"/>
        <v>394.96800000000007</v>
      </c>
      <c r="H144" s="6">
        <f>H140-H141+H126</f>
        <v>696.15200000000004</v>
      </c>
    </row>
    <row r="147" spans="3:4">
      <c r="C147" s="11" t="s">
        <v>1</v>
      </c>
      <c r="D147" s="12">
        <f>NPV(0.15,D144:H144)+C144</f>
        <v>506.12483672793746</v>
      </c>
    </row>
    <row r="148" spans="3:4">
      <c r="C148" s="11" t="s">
        <v>0</v>
      </c>
      <c r="D148" s="13">
        <f>IRR(C144:H144)</f>
        <v>0.33467409942024656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73"/>
  <sheetViews>
    <sheetView zoomScale="40" zoomScaleNormal="40" workbookViewId="0">
      <selection activeCell="L12" sqref="L12"/>
    </sheetView>
  </sheetViews>
  <sheetFormatPr baseColWidth="10" defaultRowHeight="15"/>
  <cols>
    <col min="2" max="2" width="31" bestFit="1" customWidth="1"/>
    <col min="3" max="3" width="18.28515625" customWidth="1"/>
    <col min="4" max="4" width="16.140625" style="18" customWidth="1"/>
    <col min="5" max="5" width="21.85546875" customWidth="1"/>
    <col min="6" max="6" width="21.7109375" customWidth="1"/>
    <col min="7" max="7" width="18" customWidth="1"/>
    <col min="8" max="8" width="21" customWidth="1"/>
    <col min="9" max="9" width="17.140625" customWidth="1"/>
    <col min="10" max="10" width="16.7109375" customWidth="1"/>
    <col min="11" max="11" width="18.42578125" customWidth="1"/>
    <col min="12" max="12" width="17.28515625" customWidth="1"/>
    <col min="13" max="13" width="17.5703125" customWidth="1"/>
    <col min="14" max="14" width="17.28515625" customWidth="1"/>
    <col min="15" max="15" width="18.140625" customWidth="1"/>
  </cols>
  <sheetData>
    <row r="1" spans="1:15">
      <c r="B1" s="9" t="s">
        <v>33</v>
      </c>
      <c r="C1" s="9" t="s">
        <v>34</v>
      </c>
      <c r="E1" s="25" t="s">
        <v>55</v>
      </c>
      <c r="F1" s="25"/>
      <c r="G1" s="25"/>
      <c r="H1" s="25"/>
      <c r="I1" s="25"/>
      <c r="J1" s="25"/>
    </row>
    <row r="5" spans="1:15">
      <c r="B5" t="s">
        <v>60</v>
      </c>
      <c r="C5" s="23">
        <v>4.5999999999999996</v>
      </c>
      <c r="E5" t="s">
        <v>49</v>
      </c>
      <c r="F5" s="23">
        <v>120</v>
      </c>
      <c r="H5" t="s">
        <v>62</v>
      </c>
      <c r="I5" s="30">
        <v>0.25</v>
      </c>
      <c r="L5" s="8"/>
    </row>
    <row r="6" spans="1:15">
      <c r="B6" t="s">
        <v>43</v>
      </c>
      <c r="C6" s="22">
        <v>1400</v>
      </c>
      <c r="D6" s="22"/>
      <c r="E6" t="s">
        <v>59</v>
      </c>
      <c r="F6" s="23">
        <v>130</v>
      </c>
      <c r="G6" s="22"/>
      <c r="H6" s="29" t="s">
        <v>63</v>
      </c>
      <c r="I6" s="30">
        <v>0.35</v>
      </c>
      <c r="J6" s="22"/>
      <c r="K6" s="22"/>
      <c r="L6" s="22"/>
      <c r="M6" s="22"/>
      <c r="N6" s="22"/>
      <c r="O6" s="22"/>
    </row>
    <row r="7" spans="1:15">
      <c r="B7" t="s">
        <v>44</v>
      </c>
      <c r="C7" s="23">
        <v>0.69</v>
      </c>
      <c r="D7" s="23"/>
      <c r="E7" t="s">
        <v>56</v>
      </c>
      <c r="F7" s="23">
        <v>160</v>
      </c>
      <c r="G7" s="23"/>
      <c r="H7" s="28" t="s">
        <v>64</v>
      </c>
      <c r="I7" s="30">
        <v>0.4</v>
      </c>
      <c r="J7" s="23"/>
      <c r="K7" s="23"/>
      <c r="L7" s="23"/>
      <c r="M7" s="23"/>
      <c r="N7" s="23"/>
      <c r="O7" s="23"/>
    </row>
    <row r="8" spans="1:15">
      <c r="B8" t="s">
        <v>45</v>
      </c>
      <c r="C8" s="23">
        <v>0.67</v>
      </c>
      <c r="D8" s="23"/>
      <c r="E8" t="s">
        <v>58</v>
      </c>
      <c r="F8" s="23">
        <v>450</v>
      </c>
      <c r="G8" s="23"/>
      <c r="H8" s="23"/>
      <c r="I8" s="23"/>
      <c r="J8" s="23"/>
      <c r="K8" s="23"/>
      <c r="L8" s="23"/>
      <c r="M8" s="23"/>
      <c r="N8" s="23"/>
      <c r="O8" s="23"/>
    </row>
    <row r="9" spans="1:15">
      <c r="B9" t="s">
        <v>46</v>
      </c>
      <c r="C9" s="23">
        <v>1.5</v>
      </c>
      <c r="D9" s="23"/>
      <c r="E9" t="s">
        <v>57</v>
      </c>
      <c r="F9" s="23">
        <v>75</v>
      </c>
      <c r="G9" s="23"/>
      <c r="H9" s="23"/>
      <c r="I9" s="23"/>
      <c r="J9" s="23"/>
      <c r="K9" s="23"/>
      <c r="L9" s="23"/>
      <c r="M9" s="23"/>
      <c r="N9" s="23"/>
      <c r="O9" s="23"/>
    </row>
    <row r="10" spans="1:15">
      <c r="B10" t="s">
        <v>47</v>
      </c>
      <c r="C10" s="23">
        <v>0.05</v>
      </c>
      <c r="D10" s="23"/>
      <c r="E10" t="s">
        <v>61</v>
      </c>
      <c r="F10" s="23">
        <v>0.35</v>
      </c>
      <c r="G10" s="23"/>
      <c r="H10" s="23"/>
      <c r="I10" s="23"/>
      <c r="J10" s="23"/>
      <c r="K10" s="23"/>
      <c r="L10" s="23"/>
      <c r="M10" s="23"/>
      <c r="N10" s="23"/>
      <c r="O10" s="23"/>
    </row>
    <row r="11" spans="1:15">
      <c r="B11" t="s">
        <v>48</v>
      </c>
      <c r="C11" s="23">
        <v>100</v>
      </c>
      <c r="D11" s="23"/>
      <c r="E11" t="s">
        <v>2</v>
      </c>
      <c r="F11" s="24">
        <v>625000000</v>
      </c>
      <c r="G11" s="23"/>
      <c r="H11" s="23"/>
      <c r="I11" s="23"/>
      <c r="J11" s="23"/>
      <c r="K11" s="23"/>
      <c r="L11" s="23"/>
      <c r="M11" s="23"/>
      <c r="N11" s="23"/>
      <c r="O11" s="23"/>
    </row>
    <row r="12" spans="1:15"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5"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15">
      <c r="L14" s="8"/>
    </row>
    <row r="15" spans="1:15">
      <c r="B15" s="20" t="s">
        <v>32</v>
      </c>
    </row>
    <row r="16" spans="1:15" s="16" customFormat="1">
      <c r="A16" s="33"/>
      <c r="B16" s="16" t="s">
        <v>35</v>
      </c>
      <c r="C16" s="7">
        <v>0</v>
      </c>
      <c r="D16" s="7">
        <v>1</v>
      </c>
      <c r="E16" s="7">
        <v>2</v>
      </c>
      <c r="F16" s="7">
        <v>3</v>
      </c>
      <c r="G16" s="7">
        <v>4</v>
      </c>
      <c r="H16" s="7">
        <v>5</v>
      </c>
      <c r="I16" s="7">
        <v>6</v>
      </c>
      <c r="J16" s="7">
        <v>7</v>
      </c>
      <c r="K16" s="7">
        <v>8</v>
      </c>
      <c r="L16" s="7">
        <v>9</v>
      </c>
      <c r="M16" s="7">
        <v>10</v>
      </c>
      <c r="N16" s="7">
        <v>11</v>
      </c>
      <c r="O16" s="7">
        <v>12</v>
      </c>
    </row>
    <row r="17" spans="1:15">
      <c r="A17" s="14"/>
      <c r="C17" s="7"/>
      <c r="D17" s="19"/>
      <c r="E17" s="7"/>
      <c r="F17" s="7"/>
      <c r="G17" s="7"/>
      <c r="H17" s="7"/>
      <c r="L17" s="8"/>
    </row>
    <row r="18" spans="1:15">
      <c r="A18" s="14"/>
      <c r="B18" t="s">
        <v>36</v>
      </c>
      <c r="C18" s="7"/>
      <c r="D18" s="19">
        <f>I5</f>
        <v>0.25</v>
      </c>
      <c r="E18" s="19">
        <f>I6</f>
        <v>0.35</v>
      </c>
      <c r="F18" s="19">
        <f>I7</f>
        <v>0.4</v>
      </c>
      <c r="G18" s="19">
        <f>I7</f>
        <v>0.4</v>
      </c>
      <c r="H18" s="19">
        <f>I7</f>
        <v>0.4</v>
      </c>
      <c r="I18" s="19">
        <f>I7</f>
        <v>0.4</v>
      </c>
      <c r="J18" s="19">
        <f>I7</f>
        <v>0.4</v>
      </c>
      <c r="K18" s="19">
        <f>I7</f>
        <v>0.4</v>
      </c>
      <c r="L18" s="19">
        <f>I7</f>
        <v>0.4</v>
      </c>
      <c r="M18" s="19">
        <f>I7</f>
        <v>0.4</v>
      </c>
      <c r="N18" s="19">
        <f>I7</f>
        <v>0.4</v>
      </c>
      <c r="O18" s="19">
        <f>I7</f>
        <v>0.4</v>
      </c>
    </row>
    <row r="19" spans="1:15">
      <c r="A19" s="14"/>
      <c r="B19" t="s">
        <v>50</v>
      </c>
      <c r="C19" s="7"/>
      <c r="D19" s="19">
        <f>D18*D20</f>
        <v>0.375</v>
      </c>
      <c r="E19" s="19">
        <f>E18*C9</f>
        <v>0.52499999999999991</v>
      </c>
      <c r="F19" s="19">
        <f>F18*C9</f>
        <v>0.60000000000000009</v>
      </c>
      <c r="G19" s="19">
        <f>C9*G18</f>
        <v>0.60000000000000009</v>
      </c>
      <c r="H19" s="19">
        <f>C9*H18</f>
        <v>0.60000000000000009</v>
      </c>
      <c r="I19" s="19">
        <f>C9*I18</f>
        <v>0.60000000000000009</v>
      </c>
      <c r="J19" s="19">
        <f>C9*J18</f>
        <v>0.60000000000000009</v>
      </c>
      <c r="K19" s="19">
        <f>C9*K18</f>
        <v>0.60000000000000009</v>
      </c>
      <c r="L19" s="19">
        <f>C9*L18</f>
        <v>0.60000000000000009</v>
      </c>
      <c r="M19" s="19">
        <f>C9*M18</f>
        <v>0.60000000000000009</v>
      </c>
      <c r="N19" s="19">
        <f>C9*N18</f>
        <v>0.60000000000000009</v>
      </c>
      <c r="O19" s="19">
        <f>C9*O18</f>
        <v>0.60000000000000009</v>
      </c>
    </row>
    <row r="20" spans="1:15">
      <c r="A20" s="14"/>
      <c r="B20" t="s">
        <v>51</v>
      </c>
      <c r="C20" s="7"/>
      <c r="D20" s="19">
        <f>C9</f>
        <v>1.5</v>
      </c>
      <c r="E20" s="19">
        <f>C9</f>
        <v>1.5</v>
      </c>
      <c r="F20" s="19">
        <f>C9</f>
        <v>1.5</v>
      </c>
      <c r="G20" s="19">
        <f>C9</f>
        <v>1.5</v>
      </c>
      <c r="H20" s="19">
        <f>C9</f>
        <v>1.5</v>
      </c>
      <c r="I20" s="19">
        <f>C9</f>
        <v>1.5</v>
      </c>
      <c r="J20" s="19">
        <f>C9</f>
        <v>1.5</v>
      </c>
      <c r="K20" s="19">
        <f>C9</f>
        <v>1.5</v>
      </c>
      <c r="L20" s="19">
        <f>C9</f>
        <v>1.5</v>
      </c>
      <c r="M20" s="19">
        <f>C9</f>
        <v>1.5</v>
      </c>
      <c r="N20" s="19">
        <f>C9</f>
        <v>1.5</v>
      </c>
      <c r="O20" s="19">
        <f>C9</f>
        <v>1.5</v>
      </c>
    </row>
    <row r="21" spans="1:15">
      <c r="A21" s="15"/>
      <c r="C21" s="6"/>
      <c r="D21" s="19"/>
      <c r="E21" s="19"/>
      <c r="F21" s="19"/>
      <c r="G21" s="6"/>
      <c r="H21" s="6"/>
    </row>
    <row r="22" spans="1:15">
      <c r="B22" t="s">
        <v>53</v>
      </c>
      <c r="C22" s="26">
        <f>F11</f>
        <v>625000000</v>
      </c>
      <c r="D22" s="17"/>
      <c r="E22" s="17"/>
      <c r="F22" s="17"/>
      <c r="G22" s="6"/>
      <c r="H22" s="6"/>
      <c r="L22" s="8"/>
    </row>
    <row r="23" spans="1:15">
      <c r="B23" t="s">
        <v>54</v>
      </c>
      <c r="C23" s="6">
        <f>(3/12)*F32</f>
        <v>88000000</v>
      </c>
      <c r="D23" s="17"/>
      <c r="E23" s="17"/>
      <c r="F23" s="17"/>
      <c r="G23" s="6"/>
      <c r="H23" s="6"/>
      <c r="L23" s="8"/>
      <c r="O23" s="6">
        <f>-C23</f>
        <v>-88000000</v>
      </c>
    </row>
    <row r="24" spans="1:15">
      <c r="B24" t="s">
        <v>52</v>
      </c>
      <c r="C24" s="6">
        <f>C22+C23</f>
        <v>713000000</v>
      </c>
      <c r="D24" s="17"/>
      <c r="E24" s="17"/>
      <c r="F24" s="17"/>
      <c r="G24" s="6"/>
      <c r="H24" s="6"/>
      <c r="L24" s="8"/>
      <c r="O24" s="6">
        <f>-C23</f>
        <v>-88000000</v>
      </c>
    </row>
    <row r="25" spans="1:15">
      <c r="C25" s="6"/>
      <c r="D25" s="17"/>
      <c r="E25" s="17"/>
      <c r="F25" s="17"/>
      <c r="G25" s="6"/>
      <c r="H25" s="6"/>
      <c r="L25" s="8"/>
    </row>
    <row r="26" spans="1:15" s="5" customFormat="1">
      <c r="B26" s="5" t="s">
        <v>37</v>
      </c>
      <c r="D26" s="21">
        <f>(D18*1000000)*C8*(C6*(10/7.93))*(1/1000000)*(1/C7)</f>
        <v>428.5688177348905</v>
      </c>
      <c r="E26" s="21">
        <f>(E18*1000000)*C8*(C6*(10/7.93))*(1/1000000)*(1/C7)</f>
        <v>599.99634482884676</v>
      </c>
      <c r="F26" s="21">
        <f>(F18*1000000)*C8*(C6*(10/7.93))*(1/1000000)*(1/C7)</f>
        <v>685.7101083758248</v>
      </c>
      <c r="G26" s="5">
        <f>(G18*1000000)*C8*(C6*(10/7.93))*(1/1000000)*(1/C7)</f>
        <v>685.7101083758248</v>
      </c>
      <c r="H26" s="5">
        <f>(H18*1000000)*C8*(C6*(10/7.93))*(1/1000000)*(1/C7)</f>
        <v>685.7101083758248</v>
      </c>
      <c r="I26" s="5">
        <f>(I18*1000000)*C8*(C6*(10/7.93))*(1/1000000)*(1/C7)</f>
        <v>685.7101083758248</v>
      </c>
      <c r="J26" s="5">
        <f>(J18*1000000)*C8*(C6*(10/7.93))*(1/1000000)*(1/C7)</f>
        <v>685.7101083758248</v>
      </c>
      <c r="K26" s="5">
        <f>(K18*1000000)*C8*(C6*(10/7.93))*(1/1000000)*(1/C7)</f>
        <v>685.7101083758248</v>
      </c>
      <c r="L26" s="5">
        <f>(L18*1000000)*C8*(C6*(10/7.93))*(1/1000000)*(1/C7)</f>
        <v>685.7101083758248</v>
      </c>
      <c r="M26" s="5">
        <f>(M18*1000000)*C8*(C6*(10/7.93))*(1/1000000)*(1/C7)</f>
        <v>685.7101083758248</v>
      </c>
      <c r="N26" s="5">
        <f>(N18*1000000)*C8*(C6*(10/7.93))*(1/1000000)*(1/C7)</f>
        <v>685.7101083758248</v>
      </c>
      <c r="O26" s="5">
        <f>(O18*1000000)*C8*(C6*(10/7.93))*(1/1000000)*(1/C7)</f>
        <v>685.7101083758248</v>
      </c>
    </row>
    <row r="27" spans="1:15">
      <c r="B27" t="s">
        <v>38</v>
      </c>
      <c r="C27" s="6"/>
      <c r="D27" s="6">
        <f>C11*F5*(C7*100)- ((C7*100)*C11*F5*C10)</f>
        <v>786600</v>
      </c>
      <c r="E27" s="6">
        <f>D27</f>
        <v>786600</v>
      </c>
      <c r="F27" s="6">
        <f>D27</f>
        <v>786600</v>
      </c>
      <c r="G27" s="6">
        <f>D27</f>
        <v>786600</v>
      </c>
      <c r="H27" s="6">
        <f>D27</f>
        <v>786600</v>
      </c>
      <c r="I27" s="6">
        <f>D27</f>
        <v>786600</v>
      </c>
      <c r="J27" s="6">
        <f>D27</f>
        <v>786600</v>
      </c>
      <c r="K27" s="6">
        <f>D27</f>
        <v>786600</v>
      </c>
      <c r="L27" s="8">
        <f>D27</f>
        <v>786600</v>
      </c>
      <c r="M27" s="6">
        <f>D27</f>
        <v>786600</v>
      </c>
      <c r="N27" s="6">
        <f>D27</f>
        <v>786600</v>
      </c>
      <c r="O27" s="6">
        <f>D27</f>
        <v>786600</v>
      </c>
    </row>
    <row r="28" spans="1:15">
      <c r="B28" t="s">
        <v>19</v>
      </c>
      <c r="C28" s="6"/>
      <c r="D28" s="6">
        <f>D26*D27</f>
        <v>337112232.03026485</v>
      </c>
      <c r="E28" s="6">
        <f t="shared" ref="E28:H28" si="0">E26*E27</f>
        <v>471957124.84237087</v>
      </c>
      <c r="F28" s="6">
        <f t="shared" si="0"/>
        <v>539379571.24842381</v>
      </c>
      <c r="G28" s="6">
        <f t="shared" si="0"/>
        <v>539379571.24842381</v>
      </c>
      <c r="H28" s="6">
        <f t="shared" si="0"/>
        <v>539379571.24842381</v>
      </c>
      <c r="I28" s="6">
        <f>I26*I27</f>
        <v>539379571.24842381</v>
      </c>
      <c r="J28" s="6">
        <f t="shared" ref="J28:O28" si="1">J26*J27</f>
        <v>539379571.24842381</v>
      </c>
      <c r="K28" s="6">
        <f t="shared" si="1"/>
        <v>539379571.24842381</v>
      </c>
      <c r="L28" s="6">
        <f t="shared" si="1"/>
        <v>539379571.24842381</v>
      </c>
      <c r="M28" s="6">
        <f t="shared" si="1"/>
        <v>539379571.24842381</v>
      </c>
      <c r="N28" s="6">
        <f t="shared" si="1"/>
        <v>539379571.24842381</v>
      </c>
      <c r="O28" s="6">
        <f t="shared" si="1"/>
        <v>539379571.24842381</v>
      </c>
    </row>
    <row r="29" spans="1:15">
      <c r="B29" t="s">
        <v>39</v>
      </c>
      <c r="C29" s="6">
        <f>F6*C9+F7</f>
        <v>355</v>
      </c>
      <c r="D29" s="6">
        <f>C29</f>
        <v>355</v>
      </c>
      <c r="E29" s="6">
        <f>C29</f>
        <v>355</v>
      </c>
      <c r="F29" s="6">
        <f>C29</f>
        <v>355</v>
      </c>
      <c r="G29" s="6">
        <f>C29</f>
        <v>355</v>
      </c>
      <c r="H29" s="6">
        <f>C29</f>
        <v>355</v>
      </c>
      <c r="I29" s="6">
        <f>C29</f>
        <v>355</v>
      </c>
      <c r="J29" s="6">
        <f>C29</f>
        <v>355</v>
      </c>
      <c r="K29" s="6">
        <f>C29</f>
        <v>355</v>
      </c>
      <c r="L29" s="8">
        <f>C29</f>
        <v>355</v>
      </c>
      <c r="M29" s="6">
        <f>C29</f>
        <v>355</v>
      </c>
      <c r="N29" s="6">
        <f>C29</f>
        <v>355</v>
      </c>
      <c r="O29" s="6">
        <f>C29</f>
        <v>355</v>
      </c>
    </row>
    <row r="30" spans="1:15">
      <c r="B30" t="s">
        <v>40</v>
      </c>
      <c r="C30" s="26">
        <f>F8</f>
        <v>450</v>
      </c>
      <c r="D30" s="6">
        <f t="shared" ref="D30:O30" si="2">C30</f>
        <v>450</v>
      </c>
      <c r="E30" s="6">
        <f t="shared" si="2"/>
        <v>450</v>
      </c>
      <c r="F30" s="6">
        <f t="shared" si="2"/>
        <v>450</v>
      </c>
      <c r="G30" s="6">
        <f t="shared" si="2"/>
        <v>450</v>
      </c>
      <c r="H30" s="6">
        <f t="shared" si="2"/>
        <v>450</v>
      </c>
      <c r="I30" s="6">
        <f t="shared" si="2"/>
        <v>450</v>
      </c>
      <c r="J30" s="6">
        <f t="shared" si="2"/>
        <v>450</v>
      </c>
      <c r="K30" s="6">
        <f t="shared" si="2"/>
        <v>450</v>
      </c>
      <c r="L30" s="6">
        <f t="shared" si="2"/>
        <v>450</v>
      </c>
      <c r="M30" s="6">
        <f t="shared" si="2"/>
        <v>450</v>
      </c>
      <c r="N30" s="6">
        <f t="shared" si="2"/>
        <v>450</v>
      </c>
      <c r="O30" s="6">
        <f t="shared" si="2"/>
        <v>450</v>
      </c>
    </row>
    <row r="31" spans="1:15">
      <c r="B31" t="s">
        <v>41</v>
      </c>
      <c r="C31" s="27">
        <f>F9</f>
        <v>75</v>
      </c>
      <c r="D31" s="6">
        <f t="shared" ref="D31:O31" si="3">C31</f>
        <v>75</v>
      </c>
      <c r="E31" s="6">
        <f t="shared" si="3"/>
        <v>75</v>
      </c>
      <c r="F31" s="6">
        <f t="shared" si="3"/>
        <v>75</v>
      </c>
      <c r="G31" s="6">
        <f t="shared" si="3"/>
        <v>75</v>
      </c>
      <c r="H31" s="6">
        <f t="shared" si="3"/>
        <v>75</v>
      </c>
      <c r="I31" s="6">
        <f t="shared" si="3"/>
        <v>75</v>
      </c>
      <c r="J31" s="6">
        <f t="shared" si="3"/>
        <v>75</v>
      </c>
      <c r="K31" s="6">
        <f t="shared" si="3"/>
        <v>75</v>
      </c>
      <c r="L31" s="6">
        <f t="shared" si="3"/>
        <v>75</v>
      </c>
      <c r="M31" s="6">
        <f t="shared" si="3"/>
        <v>75</v>
      </c>
      <c r="N31" s="6">
        <f t="shared" si="3"/>
        <v>75</v>
      </c>
      <c r="O31" s="6">
        <f t="shared" si="3"/>
        <v>75</v>
      </c>
    </row>
    <row r="32" spans="1:15">
      <c r="B32" t="s">
        <v>42</v>
      </c>
      <c r="C32" s="6">
        <v>0</v>
      </c>
      <c r="D32" s="6">
        <f>(D29+D30+D31)*(D18*1000000)</f>
        <v>220000000</v>
      </c>
      <c r="E32" s="6">
        <f t="shared" ref="E32:O32" si="4">(E29+E30+E31)*(E18*1000000)</f>
        <v>308000000</v>
      </c>
      <c r="F32" s="6">
        <f t="shared" si="4"/>
        <v>352000000</v>
      </c>
      <c r="G32" s="6">
        <f t="shared" si="4"/>
        <v>352000000</v>
      </c>
      <c r="H32" s="6">
        <f t="shared" si="4"/>
        <v>352000000</v>
      </c>
      <c r="I32" s="6">
        <f t="shared" si="4"/>
        <v>352000000</v>
      </c>
      <c r="J32" s="6">
        <f t="shared" si="4"/>
        <v>352000000</v>
      </c>
      <c r="K32" s="6">
        <f t="shared" si="4"/>
        <v>352000000</v>
      </c>
      <c r="L32" s="6">
        <f t="shared" si="4"/>
        <v>352000000</v>
      </c>
      <c r="M32" s="6">
        <f t="shared" si="4"/>
        <v>352000000</v>
      </c>
      <c r="N32" s="6">
        <f t="shared" si="4"/>
        <v>352000000</v>
      </c>
      <c r="O32" s="6">
        <f t="shared" si="4"/>
        <v>352000000</v>
      </c>
    </row>
    <row r="33" spans="2:15">
      <c r="B33" t="s">
        <v>10</v>
      </c>
      <c r="C33" s="6"/>
      <c r="D33" s="6">
        <f>D28-D32</f>
        <v>117112232.03026485</v>
      </c>
      <c r="E33" s="6">
        <f t="shared" ref="E33:O33" si="5">E28-E32</f>
        <v>163957124.84237087</v>
      </c>
      <c r="F33" s="6">
        <f t="shared" si="5"/>
        <v>187379571.24842381</v>
      </c>
      <c r="G33" s="6">
        <f t="shared" si="5"/>
        <v>187379571.24842381</v>
      </c>
      <c r="H33" s="6">
        <f t="shared" si="5"/>
        <v>187379571.24842381</v>
      </c>
      <c r="I33" s="6">
        <f t="shared" si="5"/>
        <v>187379571.24842381</v>
      </c>
      <c r="J33" s="6">
        <f t="shared" si="5"/>
        <v>187379571.24842381</v>
      </c>
      <c r="K33" s="6">
        <f t="shared" si="5"/>
        <v>187379571.24842381</v>
      </c>
      <c r="L33" s="6">
        <f t="shared" si="5"/>
        <v>187379571.24842381</v>
      </c>
      <c r="M33" s="6">
        <f t="shared" si="5"/>
        <v>187379571.24842381</v>
      </c>
      <c r="N33" s="6">
        <f t="shared" si="5"/>
        <v>187379571.24842381</v>
      </c>
      <c r="O33" s="6">
        <f t="shared" si="5"/>
        <v>187379571.24842381</v>
      </c>
    </row>
    <row r="34" spans="2:15">
      <c r="B34" t="s">
        <v>11</v>
      </c>
      <c r="C34" s="6"/>
      <c r="D34" s="6">
        <f>(C22/(C5*1000000))*(D18*1000000)</f>
        <v>33967391.304347828</v>
      </c>
      <c r="E34" s="6">
        <f>(C22/(C5*1000000))*(E18*1000000)</f>
        <v>47554347.826086961</v>
      </c>
      <c r="F34" s="6">
        <f>(C22/(C5*1000000))*(F18*1000000)</f>
        <v>54347826.086956523</v>
      </c>
      <c r="G34" s="6">
        <f>(C22/(C5*1000000))*(G18*1000000)</f>
        <v>54347826.086956523</v>
      </c>
      <c r="H34" s="6">
        <f>(C22/(C5*1000000))*(H18*1000000)</f>
        <v>54347826.086956523</v>
      </c>
      <c r="I34" s="6">
        <f>(C22/(C5*1000000))*(I18*1000000)</f>
        <v>54347826.086956523</v>
      </c>
      <c r="J34" s="6">
        <f>(C22/(C5*1000000))*(J18*1000000)</f>
        <v>54347826.086956523</v>
      </c>
      <c r="K34" s="6">
        <f>(C22/(C5*1000000))*(K18*1000000)</f>
        <v>54347826.086956523</v>
      </c>
      <c r="L34" s="6">
        <f>(C22/(C5*1000000))*(L18*1000000)</f>
        <v>54347826.086956523</v>
      </c>
      <c r="M34" s="6">
        <f>(C22/(C5*1000000))*(M18*1000000)</f>
        <v>54347826.086956523</v>
      </c>
      <c r="N34" s="6">
        <f>(C22/(C5*1000000))*(N18*1000000)</f>
        <v>54347826.086956523</v>
      </c>
      <c r="O34" s="6">
        <f>(C22/(C5*1000000))*(O18*1000000)</f>
        <v>54347826.086956523</v>
      </c>
    </row>
    <row r="35" spans="2:15">
      <c r="B35" t="s">
        <v>12</v>
      </c>
      <c r="C35" s="6"/>
      <c r="D35" s="6">
        <f>(D33-D34)*0.3</f>
        <v>24943452.217775106</v>
      </c>
      <c r="E35" s="6">
        <f t="shared" ref="E35:O35" si="6">(E33-E34)*0.3</f>
        <v>34920833.104885168</v>
      </c>
      <c r="F35" s="6">
        <f t="shared" si="6"/>
        <v>39909523.548440181</v>
      </c>
      <c r="G35" s="6">
        <f t="shared" si="6"/>
        <v>39909523.548440181</v>
      </c>
      <c r="H35" s="6">
        <f t="shared" si="6"/>
        <v>39909523.548440181</v>
      </c>
      <c r="I35" s="6">
        <f t="shared" si="6"/>
        <v>39909523.548440181</v>
      </c>
      <c r="J35" s="6">
        <f t="shared" si="6"/>
        <v>39909523.548440181</v>
      </c>
      <c r="K35" s="6">
        <f t="shared" si="6"/>
        <v>39909523.548440181</v>
      </c>
      <c r="L35" s="6">
        <f t="shared" si="6"/>
        <v>39909523.548440181</v>
      </c>
      <c r="M35" s="6">
        <f t="shared" si="6"/>
        <v>39909523.548440181</v>
      </c>
      <c r="N35" s="6">
        <f t="shared" si="6"/>
        <v>39909523.548440181</v>
      </c>
      <c r="O35" s="6">
        <f t="shared" si="6"/>
        <v>39909523.548440181</v>
      </c>
    </row>
    <row r="36" spans="2:15">
      <c r="B36" t="s">
        <v>13</v>
      </c>
      <c r="C36" s="6"/>
      <c r="D36" s="6">
        <f>D33-(D34+D35)</f>
        <v>58201388.50814192</v>
      </c>
      <c r="E36" s="6">
        <f t="shared" ref="E36:O36" si="7">E33-(E34+E35)</f>
        <v>81481943.911398739</v>
      </c>
      <c r="F36" s="6">
        <f t="shared" si="7"/>
        <v>93122221.613027111</v>
      </c>
      <c r="G36" s="6">
        <f t="shared" si="7"/>
        <v>93122221.613027111</v>
      </c>
      <c r="H36" s="6">
        <f t="shared" si="7"/>
        <v>93122221.613027111</v>
      </c>
      <c r="I36" s="6">
        <f t="shared" si="7"/>
        <v>93122221.613027111</v>
      </c>
      <c r="J36" s="6">
        <f t="shared" si="7"/>
        <v>93122221.613027111</v>
      </c>
      <c r="K36" s="6">
        <f t="shared" si="7"/>
        <v>93122221.613027111</v>
      </c>
      <c r="L36" s="6">
        <f t="shared" si="7"/>
        <v>93122221.613027111</v>
      </c>
      <c r="M36" s="6">
        <f t="shared" si="7"/>
        <v>93122221.613027111</v>
      </c>
      <c r="N36" s="6">
        <f t="shared" si="7"/>
        <v>93122221.613027111</v>
      </c>
      <c r="O36" s="6">
        <f t="shared" si="7"/>
        <v>93122221.613027111</v>
      </c>
    </row>
    <row r="37" spans="2:15">
      <c r="C37" s="6"/>
      <c r="D37" s="6"/>
      <c r="E37" s="6"/>
      <c r="F37" s="6"/>
      <c r="G37" s="6"/>
      <c r="H37" s="6"/>
      <c r="L37" s="8"/>
    </row>
    <row r="38" spans="2:15">
      <c r="B38" t="s">
        <v>14</v>
      </c>
      <c r="C38" s="6"/>
      <c r="D38" s="6">
        <f>F10*D36</f>
        <v>20370485.97784967</v>
      </c>
      <c r="E38" s="6">
        <f>F10*E36</f>
        <v>28518680.368989557</v>
      </c>
      <c r="F38" s="6">
        <f>F10*F36</f>
        <v>32592777.564559486</v>
      </c>
      <c r="G38" s="6">
        <f>F10*G36</f>
        <v>32592777.564559486</v>
      </c>
      <c r="H38" s="6">
        <f>F10*H36</f>
        <v>32592777.564559486</v>
      </c>
      <c r="I38" s="6">
        <f>F10*I36</f>
        <v>32592777.564559486</v>
      </c>
      <c r="J38" s="6">
        <f>F10*J36</f>
        <v>32592777.564559486</v>
      </c>
      <c r="K38" s="6">
        <f>F10*K36</f>
        <v>32592777.564559486</v>
      </c>
      <c r="L38" s="6">
        <f>F10*L36</f>
        <v>32592777.564559486</v>
      </c>
      <c r="M38" s="6">
        <f>F10*M36</f>
        <v>32592777.564559486</v>
      </c>
      <c r="N38" s="6">
        <f>F10*N36</f>
        <v>32592777.564559486</v>
      </c>
      <c r="O38" s="6">
        <f>F10*O36</f>
        <v>32592777.564559486</v>
      </c>
    </row>
    <row r="39" spans="2:15">
      <c r="B39" t="s">
        <v>15</v>
      </c>
      <c r="C39" s="6"/>
      <c r="D39" s="6">
        <f>D36-D38</f>
        <v>37830902.53029225</v>
      </c>
      <c r="E39" s="6">
        <f t="shared" ref="E39:O39" si="8">E36-E38</f>
        <v>52963263.542409182</v>
      </c>
      <c r="F39" s="6">
        <f t="shared" si="8"/>
        <v>60529444.048467621</v>
      </c>
      <c r="G39" s="6">
        <f t="shared" si="8"/>
        <v>60529444.048467621</v>
      </c>
      <c r="H39" s="6">
        <f t="shared" si="8"/>
        <v>60529444.048467621</v>
      </c>
      <c r="I39" s="6">
        <f t="shared" si="8"/>
        <v>60529444.048467621</v>
      </c>
      <c r="J39" s="6">
        <f t="shared" si="8"/>
        <v>60529444.048467621</v>
      </c>
      <c r="K39" s="6">
        <f t="shared" si="8"/>
        <v>60529444.048467621</v>
      </c>
      <c r="L39" s="6">
        <f t="shared" si="8"/>
        <v>60529444.048467621</v>
      </c>
      <c r="M39" s="6">
        <f t="shared" si="8"/>
        <v>60529444.048467621</v>
      </c>
      <c r="N39" s="6">
        <f t="shared" si="8"/>
        <v>60529444.048467621</v>
      </c>
      <c r="O39" s="6">
        <f t="shared" si="8"/>
        <v>60529444.048467621</v>
      </c>
    </row>
    <row r="40" spans="2:15">
      <c r="C40" s="6"/>
      <c r="D40" s="6"/>
      <c r="E40" s="6"/>
      <c r="F40" s="6"/>
      <c r="G40" s="6"/>
      <c r="H40" s="6"/>
      <c r="L40" s="8"/>
    </row>
    <row r="41" spans="2:15">
      <c r="B41" t="s">
        <v>16</v>
      </c>
      <c r="C41" s="6"/>
      <c r="D41" s="6">
        <f>D34+D35+D39</f>
        <v>96741746.052415192</v>
      </c>
      <c r="E41" s="6">
        <f t="shared" ref="E41:N41" si="9">E34+E35+E39</f>
        <v>135438444.47338131</v>
      </c>
      <c r="F41" s="6">
        <f t="shared" si="9"/>
        <v>154786793.68386433</v>
      </c>
      <c r="G41" s="6">
        <f t="shared" si="9"/>
        <v>154786793.68386433</v>
      </c>
      <c r="H41" s="6">
        <f t="shared" si="9"/>
        <v>154786793.68386433</v>
      </c>
      <c r="I41" s="6">
        <f t="shared" si="9"/>
        <v>154786793.68386433</v>
      </c>
      <c r="J41" s="6">
        <f t="shared" si="9"/>
        <v>154786793.68386433</v>
      </c>
      <c r="K41" s="6">
        <f t="shared" si="9"/>
        <v>154786793.68386433</v>
      </c>
      <c r="L41" s="6">
        <f t="shared" si="9"/>
        <v>154786793.68386433</v>
      </c>
      <c r="M41" s="6">
        <f t="shared" si="9"/>
        <v>154786793.68386433</v>
      </c>
      <c r="N41" s="6">
        <f t="shared" si="9"/>
        <v>154786793.68386433</v>
      </c>
      <c r="O41" s="6">
        <f>O34+O35+O39+(-O23)</f>
        <v>242786793.68386433</v>
      </c>
    </row>
    <row r="42" spans="2:15">
      <c r="C42" s="6"/>
      <c r="D42" s="6"/>
      <c r="E42" s="6"/>
      <c r="F42" s="6"/>
      <c r="G42" s="6"/>
      <c r="H42" s="6"/>
      <c r="L42" s="8"/>
    </row>
    <row r="43" spans="2:15">
      <c r="C43" s="6"/>
      <c r="D43" s="6"/>
      <c r="E43" s="6"/>
      <c r="F43" s="6"/>
      <c r="G43" s="6"/>
      <c r="H43" s="6"/>
      <c r="L43" s="8"/>
    </row>
    <row r="44" spans="2:15">
      <c r="B44" t="s">
        <v>18</v>
      </c>
      <c r="C44" s="6">
        <f>-C24</f>
        <v>-713000000</v>
      </c>
      <c r="D44" s="6">
        <f>D41</f>
        <v>96741746.052415192</v>
      </c>
      <c r="E44" s="6">
        <f t="shared" ref="E44:O44" si="10">E41</f>
        <v>135438444.47338131</v>
      </c>
      <c r="F44" s="6">
        <f t="shared" si="10"/>
        <v>154786793.68386433</v>
      </c>
      <c r="G44" s="6">
        <f t="shared" si="10"/>
        <v>154786793.68386433</v>
      </c>
      <c r="H44" s="6">
        <f t="shared" si="10"/>
        <v>154786793.68386433</v>
      </c>
      <c r="I44" s="6">
        <f t="shared" si="10"/>
        <v>154786793.68386433</v>
      </c>
      <c r="J44" s="6">
        <f t="shared" si="10"/>
        <v>154786793.68386433</v>
      </c>
      <c r="K44" s="6">
        <f t="shared" si="10"/>
        <v>154786793.68386433</v>
      </c>
      <c r="L44" s="6">
        <f t="shared" si="10"/>
        <v>154786793.68386433</v>
      </c>
      <c r="M44" s="6">
        <f t="shared" si="10"/>
        <v>154786793.68386433</v>
      </c>
      <c r="N44" s="6">
        <f t="shared" si="10"/>
        <v>154786793.68386433</v>
      </c>
      <c r="O44" s="6">
        <f t="shared" si="10"/>
        <v>242786793.68386433</v>
      </c>
    </row>
    <row r="45" spans="2:15">
      <c r="L45" s="8"/>
    </row>
    <row r="46" spans="2:15">
      <c r="L46" s="8"/>
    </row>
    <row r="47" spans="2:15">
      <c r="C47" s="11" t="s">
        <v>1</v>
      </c>
      <c r="D47" s="31">
        <f>NPV(0.15,D44:O44)+C44</f>
        <v>77383977.62535584</v>
      </c>
      <c r="L47" s="8"/>
    </row>
    <row r="48" spans="2:15">
      <c r="C48" s="11" t="s">
        <v>0</v>
      </c>
      <c r="D48" s="32">
        <f>IRR(C44:O44)</f>
        <v>0.17277137682164292</v>
      </c>
      <c r="L48" s="8"/>
    </row>
    <row r="49" spans="3:15">
      <c r="L49" s="8"/>
    </row>
    <row r="50" spans="3:15">
      <c r="F50" s="18"/>
    </row>
    <row r="52" spans="3:15">
      <c r="D52" s="34"/>
    </row>
    <row r="60" spans="3:15">
      <c r="C60" s="23"/>
      <c r="L60" s="8"/>
    </row>
    <row r="61" spans="3:15"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</row>
    <row r="62" spans="3:15"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</row>
    <row r="63" spans="3:15"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</row>
    <row r="64" spans="3:15"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</row>
    <row r="65" spans="3:15"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</row>
    <row r="66" spans="3:15"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</row>
    <row r="67" spans="3:15"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</row>
    <row r="68" spans="3:15"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</row>
    <row r="69" spans="3:15"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</row>
    <row r="70" spans="3:15"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</row>
    <row r="71" spans="3:15"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</row>
    <row r="72" spans="3:15"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</row>
    <row r="73" spans="3:15"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</row>
  </sheetData>
  <pageMargins left="0.7" right="0.7" top="0.75" bottom="0.75" header="0.3" footer="0.3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49"/>
  <sheetViews>
    <sheetView zoomScale="40" zoomScaleNormal="40" workbookViewId="0">
      <selection activeCell="D41" sqref="D41"/>
    </sheetView>
  </sheetViews>
  <sheetFormatPr baseColWidth="10" defaultRowHeight="15"/>
  <cols>
    <col min="2" max="2" width="31" bestFit="1" customWidth="1"/>
    <col min="3" max="3" width="18" customWidth="1"/>
    <col min="4" max="4" width="17.140625" customWidth="1"/>
    <col min="5" max="5" width="21.85546875" customWidth="1"/>
    <col min="6" max="6" width="18.140625" customWidth="1"/>
    <col min="7" max="7" width="18" customWidth="1"/>
    <col min="8" max="8" width="21.5703125" bestFit="1" customWidth="1"/>
    <col min="9" max="9" width="18.42578125" customWidth="1"/>
    <col min="10" max="10" width="18" customWidth="1"/>
    <col min="11" max="11" width="17.85546875" customWidth="1"/>
    <col min="12" max="12" width="18" customWidth="1"/>
    <col min="13" max="13" width="17.85546875" customWidth="1"/>
    <col min="14" max="14" width="17.140625" customWidth="1"/>
    <col min="15" max="15" width="16.5703125" bestFit="1" customWidth="1"/>
  </cols>
  <sheetData>
    <row r="1" spans="1:15">
      <c r="B1" s="9" t="s">
        <v>33</v>
      </c>
      <c r="C1" s="9" t="s">
        <v>34</v>
      </c>
      <c r="D1" s="18"/>
      <c r="E1" s="25" t="s">
        <v>55</v>
      </c>
      <c r="F1" s="25"/>
      <c r="G1" s="25"/>
      <c r="H1" s="25"/>
      <c r="I1" s="25"/>
      <c r="J1" s="25"/>
    </row>
    <row r="2" spans="1:15">
      <c r="D2" s="18"/>
    </row>
    <row r="3" spans="1:15">
      <c r="D3" s="18"/>
    </row>
    <row r="4" spans="1:15">
      <c r="D4" s="18"/>
    </row>
    <row r="5" spans="1:15">
      <c r="B5" t="s">
        <v>60</v>
      </c>
      <c r="C5" s="23">
        <v>4.5999999999999996</v>
      </c>
      <c r="D5" s="18"/>
      <c r="E5" t="s">
        <v>49</v>
      </c>
      <c r="F5" s="23">
        <v>120</v>
      </c>
      <c r="H5" t="s">
        <v>62</v>
      </c>
      <c r="I5" s="30">
        <v>0.25</v>
      </c>
      <c r="L5" s="8"/>
    </row>
    <row r="6" spans="1:15">
      <c r="B6" t="s">
        <v>43</v>
      </c>
      <c r="C6" s="22">
        <v>1400</v>
      </c>
      <c r="D6" s="22"/>
      <c r="E6" t="s">
        <v>59</v>
      </c>
      <c r="F6" s="23">
        <v>130</v>
      </c>
      <c r="G6" s="22"/>
      <c r="H6" s="29" t="s">
        <v>63</v>
      </c>
      <c r="I6" s="30">
        <v>0.35</v>
      </c>
      <c r="J6" s="22"/>
      <c r="K6" s="22"/>
      <c r="L6" s="22"/>
      <c r="M6" s="22"/>
      <c r="N6" s="22"/>
      <c r="O6" s="22"/>
    </row>
    <row r="7" spans="1:15">
      <c r="B7" t="s">
        <v>44</v>
      </c>
      <c r="C7" s="23">
        <v>0.69</v>
      </c>
      <c r="D7" s="23"/>
      <c r="E7" t="s">
        <v>56</v>
      </c>
      <c r="F7" s="23">
        <v>160</v>
      </c>
      <c r="G7" s="23"/>
      <c r="H7" s="28" t="s">
        <v>64</v>
      </c>
      <c r="I7" s="30">
        <v>0.4</v>
      </c>
      <c r="J7" s="23"/>
      <c r="K7" s="23"/>
      <c r="L7" s="23"/>
      <c r="M7" s="23"/>
      <c r="N7" s="23"/>
      <c r="O7" s="23"/>
    </row>
    <row r="8" spans="1:15">
      <c r="B8" t="s">
        <v>45</v>
      </c>
      <c r="C8" s="23">
        <v>0.67</v>
      </c>
      <c r="D8" s="23"/>
      <c r="E8" t="s">
        <v>58</v>
      </c>
      <c r="F8" s="23">
        <v>450</v>
      </c>
      <c r="G8" s="23"/>
      <c r="H8" s="23"/>
      <c r="I8" s="23"/>
      <c r="J8" s="23"/>
      <c r="K8" s="23"/>
      <c r="L8" s="23"/>
      <c r="M8" s="23"/>
      <c r="N8" s="23"/>
      <c r="O8" s="23"/>
    </row>
    <row r="9" spans="1:15">
      <c r="B9" t="s">
        <v>46</v>
      </c>
      <c r="C9" s="23">
        <v>1.5</v>
      </c>
      <c r="D9" s="23"/>
      <c r="E9" t="s">
        <v>57</v>
      </c>
      <c r="F9" s="23">
        <v>75</v>
      </c>
      <c r="G9" s="23"/>
      <c r="H9" s="23"/>
      <c r="I9" s="23"/>
      <c r="J9" s="23"/>
      <c r="K9" s="23"/>
      <c r="L9" s="23"/>
      <c r="M9" s="23"/>
      <c r="N9" s="23"/>
      <c r="O9" s="23"/>
    </row>
    <row r="10" spans="1:15">
      <c r="B10" t="s">
        <v>47</v>
      </c>
      <c r="C10" s="23">
        <v>0.05</v>
      </c>
      <c r="D10" s="23"/>
      <c r="E10" t="s">
        <v>61</v>
      </c>
      <c r="F10" s="23">
        <v>0.35</v>
      </c>
      <c r="G10" s="23"/>
      <c r="H10" s="23"/>
      <c r="I10" s="23"/>
      <c r="J10" s="23"/>
      <c r="K10" s="23"/>
      <c r="L10" s="23"/>
      <c r="M10" s="23"/>
      <c r="N10" s="23"/>
      <c r="O10" s="23"/>
    </row>
    <row r="11" spans="1:15">
      <c r="B11" t="s">
        <v>48</v>
      </c>
      <c r="C11" s="23">
        <v>100</v>
      </c>
      <c r="D11" s="23"/>
      <c r="E11" t="s">
        <v>2</v>
      </c>
      <c r="F11" s="24">
        <v>625000000</v>
      </c>
      <c r="G11" s="23"/>
      <c r="H11" s="23"/>
      <c r="I11" s="23"/>
      <c r="J11" s="23"/>
      <c r="K11" s="23"/>
      <c r="L11" s="23"/>
      <c r="M11" s="23"/>
      <c r="N11" s="23"/>
      <c r="O11" s="23"/>
    </row>
    <row r="12" spans="1:15"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5"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15">
      <c r="D14" s="18"/>
      <c r="L14" s="8"/>
    </row>
    <row r="15" spans="1:15">
      <c r="B15" s="20" t="s">
        <v>32</v>
      </c>
      <c r="D15" s="18"/>
    </row>
    <row r="16" spans="1:15">
      <c r="A16" s="33"/>
      <c r="B16" s="16" t="s">
        <v>35</v>
      </c>
      <c r="C16" s="7">
        <v>0</v>
      </c>
      <c r="D16" s="7">
        <v>1</v>
      </c>
      <c r="E16" s="7">
        <v>2</v>
      </c>
      <c r="F16" s="7">
        <v>3</v>
      </c>
      <c r="G16" s="7">
        <v>4</v>
      </c>
      <c r="H16" s="7">
        <v>5</v>
      </c>
      <c r="I16" s="7">
        <v>6</v>
      </c>
      <c r="J16" s="7">
        <v>7</v>
      </c>
      <c r="K16" s="7">
        <v>8</v>
      </c>
      <c r="L16" s="7">
        <v>9</v>
      </c>
      <c r="M16" s="7">
        <v>10</v>
      </c>
      <c r="N16" s="7">
        <v>11</v>
      </c>
      <c r="O16" s="7">
        <v>12</v>
      </c>
    </row>
    <row r="17" spans="1:15">
      <c r="A17" s="14"/>
      <c r="C17" s="7"/>
      <c r="D17" s="19"/>
      <c r="E17" s="7"/>
      <c r="F17" s="7"/>
      <c r="G17" s="7"/>
      <c r="H17" s="7"/>
      <c r="L17" s="8"/>
    </row>
    <row r="18" spans="1:15">
      <c r="A18" s="14"/>
      <c r="B18" t="s">
        <v>36</v>
      </c>
      <c r="C18" s="7"/>
      <c r="D18" s="19">
        <f>I5</f>
        <v>0.25</v>
      </c>
      <c r="E18" s="19">
        <f>I6</f>
        <v>0.35</v>
      </c>
      <c r="F18" s="19">
        <f>I7</f>
        <v>0.4</v>
      </c>
      <c r="G18" s="19">
        <f>I7</f>
        <v>0.4</v>
      </c>
      <c r="H18" s="19">
        <f>I7</f>
        <v>0.4</v>
      </c>
      <c r="I18" s="19">
        <f>I7</f>
        <v>0.4</v>
      </c>
      <c r="J18" s="19">
        <f>I7</f>
        <v>0.4</v>
      </c>
      <c r="K18" s="19">
        <f>I7</f>
        <v>0.4</v>
      </c>
      <c r="L18" s="19">
        <f>I7</f>
        <v>0.4</v>
      </c>
      <c r="M18" s="19">
        <f>I7</f>
        <v>0.4</v>
      </c>
      <c r="N18" s="19">
        <f>I7</f>
        <v>0.4</v>
      </c>
      <c r="O18" s="19">
        <f>I7</f>
        <v>0.4</v>
      </c>
    </row>
    <row r="19" spans="1:15">
      <c r="A19" s="14"/>
      <c r="B19" t="s">
        <v>50</v>
      </c>
      <c r="C19" s="7"/>
      <c r="D19" s="19">
        <f>D18*D20</f>
        <v>0.375</v>
      </c>
      <c r="E19" s="19">
        <f>E18*C9</f>
        <v>0.52499999999999991</v>
      </c>
      <c r="F19" s="19">
        <f>F18*C9</f>
        <v>0.60000000000000009</v>
      </c>
      <c r="G19" s="19">
        <f>C9*G18</f>
        <v>0.60000000000000009</v>
      </c>
      <c r="H19" s="19">
        <f>C9*H18</f>
        <v>0.60000000000000009</v>
      </c>
      <c r="I19" s="19">
        <f>C9*I18</f>
        <v>0.60000000000000009</v>
      </c>
      <c r="J19" s="19">
        <f>C9*J18</f>
        <v>0.60000000000000009</v>
      </c>
      <c r="K19" s="19">
        <f>C9*K18</f>
        <v>0.60000000000000009</v>
      </c>
      <c r="L19" s="19">
        <f>C9*L18</f>
        <v>0.60000000000000009</v>
      </c>
      <c r="M19" s="19">
        <f>C9*M18</f>
        <v>0.60000000000000009</v>
      </c>
      <c r="N19" s="19">
        <f>C9*N18</f>
        <v>0.60000000000000009</v>
      </c>
      <c r="O19" s="19">
        <f>C9*O18</f>
        <v>0.60000000000000009</v>
      </c>
    </row>
    <row r="20" spans="1:15">
      <c r="A20" s="14"/>
      <c r="B20" t="s">
        <v>51</v>
      </c>
      <c r="C20" s="7"/>
      <c r="D20" s="19">
        <f>C9</f>
        <v>1.5</v>
      </c>
      <c r="E20" s="19">
        <f>C9</f>
        <v>1.5</v>
      </c>
      <c r="F20" s="19">
        <f>C9</f>
        <v>1.5</v>
      </c>
      <c r="G20" s="19">
        <f>C9</f>
        <v>1.5</v>
      </c>
      <c r="H20" s="19">
        <f>C9</f>
        <v>1.5</v>
      </c>
      <c r="I20" s="19">
        <f>C9</f>
        <v>1.5</v>
      </c>
      <c r="J20" s="19">
        <f>C9</f>
        <v>1.5</v>
      </c>
      <c r="K20" s="19">
        <f>C9</f>
        <v>1.5</v>
      </c>
      <c r="L20" s="19">
        <f>C9</f>
        <v>1.5</v>
      </c>
      <c r="M20" s="19">
        <f>C9</f>
        <v>1.5</v>
      </c>
      <c r="N20" s="19">
        <f>C9</f>
        <v>1.5</v>
      </c>
      <c r="O20" s="19">
        <f>C9</f>
        <v>1.5</v>
      </c>
    </row>
    <row r="21" spans="1:15">
      <c r="A21" s="15"/>
      <c r="C21" s="6"/>
      <c r="D21" s="19"/>
      <c r="E21" s="19"/>
      <c r="F21" s="19"/>
      <c r="G21" s="6"/>
      <c r="H21" s="6"/>
    </row>
    <row r="22" spans="1:15">
      <c r="B22" t="s">
        <v>53</v>
      </c>
      <c r="C22" s="26">
        <f>F11</f>
        <v>625000000</v>
      </c>
      <c r="D22" s="17"/>
      <c r="E22" s="17"/>
      <c r="F22" s="17"/>
      <c r="G22" s="6"/>
      <c r="H22" s="6"/>
      <c r="L22" s="8"/>
    </row>
    <row r="23" spans="1:15">
      <c r="B23" t="s">
        <v>54</v>
      </c>
      <c r="C23" s="6">
        <f>(3/12)*F32</f>
        <v>88000000</v>
      </c>
      <c r="D23" s="17"/>
      <c r="E23" s="17"/>
      <c r="F23" s="17"/>
      <c r="G23" s="6"/>
      <c r="H23" s="6"/>
      <c r="L23" s="8"/>
      <c r="O23" s="6">
        <f>-C23</f>
        <v>-88000000</v>
      </c>
    </row>
    <row r="24" spans="1:15">
      <c r="B24" t="s">
        <v>52</v>
      </c>
      <c r="C24" s="6">
        <f>C22+C23</f>
        <v>713000000</v>
      </c>
      <c r="D24" s="17"/>
      <c r="E24" s="17"/>
      <c r="F24" s="17"/>
      <c r="G24" s="6"/>
      <c r="H24" s="6"/>
      <c r="L24" s="8"/>
      <c r="O24" s="6">
        <f>-C23</f>
        <v>-88000000</v>
      </c>
    </row>
    <row r="25" spans="1:15">
      <c r="C25" s="6"/>
      <c r="D25" s="17"/>
      <c r="E25" s="17"/>
      <c r="F25" s="17"/>
      <c r="G25" s="6"/>
      <c r="H25" s="6"/>
      <c r="L25" s="8"/>
    </row>
    <row r="26" spans="1:15">
      <c r="A26" s="5"/>
      <c r="B26" s="5" t="s">
        <v>37</v>
      </c>
      <c r="C26" s="5"/>
      <c r="D26" s="21">
        <f>(D18*1000000)*C8*(C6*(10/7.93))*(1/1000000)*(1/C7)</f>
        <v>428.5688177348905</v>
      </c>
      <c r="E26" s="21">
        <f>(E18*1000000)*C8*(C6*(10/7.93))*(1/1000000)*(1/C7)</f>
        <v>599.99634482884676</v>
      </c>
      <c r="F26" s="21">
        <f>(F18*1000000)*C8*(C6*(10/7.93))*(1/1000000)*(1/C7)</f>
        <v>685.7101083758248</v>
      </c>
      <c r="G26" s="5">
        <f>(G18*1000000)*C8*(C6*(10/7.93))*(1/1000000)*(1/C7)</f>
        <v>685.7101083758248</v>
      </c>
      <c r="H26" s="5">
        <f>(H18*1000000)*C8*(C6*(10/7.93))*(1/1000000)*(1/C7)</f>
        <v>685.7101083758248</v>
      </c>
      <c r="I26" s="5">
        <f>(I18*1000000)*C8*(C6*(10/7.93))*(1/1000000)*(1/C7)</f>
        <v>685.7101083758248</v>
      </c>
      <c r="J26" s="5">
        <f>(J18*1000000)*C8*(C6*(10/7.93))*(1/1000000)*(1/C7)</f>
        <v>685.7101083758248</v>
      </c>
      <c r="K26" s="5">
        <f>(K18*1000000)*C8*(C6*(10/7.93))*(1/1000000)*(1/C7)</f>
        <v>685.7101083758248</v>
      </c>
      <c r="L26" s="5">
        <f>(L18*1000000)*C8*(C6*(10/7.93))*(1/1000000)*(1/C7)</f>
        <v>685.7101083758248</v>
      </c>
      <c r="M26" s="5">
        <f>(M18*1000000)*C8*(C6*(10/7.93))*(1/1000000)*(1/C7)</f>
        <v>685.7101083758248</v>
      </c>
      <c r="N26" s="5">
        <f>(N18*1000000)*C8*(C6*(10/7.93))*(1/1000000)*(1/C7)</f>
        <v>685.7101083758248</v>
      </c>
      <c r="O26" s="5">
        <f>(O18*1000000)*C8*(C6*(10/7.93))*(1/1000000)*(1/C7)</f>
        <v>685.7101083758248</v>
      </c>
    </row>
    <row r="27" spans="1:15">
      <c r="B27" t="s">
        <v>38</v>
      </c>
      <c r="C27" s="6"/>
      <c r="D27" s="6">
        <f>C11*F5*(C7*100)- ((C7*100)*C11*F5*C10)</f>
        <v>786600</v>
      </c>
      <c r="E27" s="6">
        <f>D27</f>
        <v>786600</v>
      </c>
      <c r="F27" s="6">
        <f>D27</f>
        <v>786600</v>
      </c>
      <c r="G27" s="6">
        <f>D27</f>
        <v>786600</v>
      </c>
      <c r="H27" s="6">
        <f>D27</f>
        <v>786600</v>
      </c>
      <c r="I27" s="6">
        <f>D27</f>
        <v>786600</v>
      </c>
      <c r="J27" s="6">
        <f>D27</f>
        <v>786600</v>
      </c>
      <c r="K27" s="6">
        <f>D27</f>
        <v>786600</v>
      </c>
      <c r="L27" s="8">
        <f>D27</f>
        <v>786600</v>
      </c>
      <c r="M27" s="6">
        <f>D27</f>
        <v>786600</v>
      </c>
      <c r="N27" s="6">
        <f>D27</f>
        <v>786600</v>
      </c>
      <c r="O27" s="6">
        <f>D27</f>
        <v>786600</v>
      </c>
    </row>
    <row r="28" spans="1:15">
      <c r="B28" t="s">
        <v>19</v>
      </c>
      <c r="C28" s="6"/>
      <c r="D28" s="6">
        <f>D26*D27</f>
        <v>337112232.03026485</v>
      </c>
      <c r="E28" s="6">
        <f t="shared" ref="E28:H28" si="0">E26*E27</f>
        <v>471957124.84237087</v>
      </c>
      <c r="F28" s="6">
        <f t="shared" si="0"/>
        <v>539379571.24842381</v>
      </c>
      <c r="G28" s="6">
        <f t="shared" si="0"/>
        <v>539379571.24842381</v>
      </c>
      <c r="H28" s="6">
        <f t="shared" si="0"/>
        <v>539379571.24842381</v>
      </c>
      <c r="I28" s="6">
        <f>I26*I27</f>
        <v>539379571.24842381</v>
      </c>
      <c r="J28" s="6">
        <f t="shared" ref="J28:O28" si="1">J26*J27</f>
        <v>539379571.24842381</v>
      </c>
      <c r="K28" s="6">
        <f t="shared" si="1"/>
        <v>539379571.24842381</v>
      </c>
      <c r="L28" s="6">
        <f t="shared" si="1"/>
        <v>539379571.24842381</v>
      </c>
      <c r="M28" s="6">
        <f t="shared" si="1"/>
        <v>539379571.24842381</v>
      </c>
      <c r="N28" s="6">
        <f t="shared" si="1"/>
        <v>539379571.24842381</v>
      </c>
      <c r="O28" s="6">
        <f t="shared" si="1"/>
        <v>539379571.24842381</v>
      </c>
    </row>
    <row r="29" spans="1:15">
      <c r="B29" t="s">
        <v>39</v>
      </c>
      <c r="C29" s="6">
        <f>F6*C9+F7</f>
        <v>355</v>
      </c>
      <c r="D29" s="6">
        <f>C29</f>
        <v>355</v>
      </c>
      <c r="E29" s="6">
        <f>C29</f>
        <v>355</v>
      </c>
      <c r="F29" s="6">
        <f>C29</f>
        <v>355</v>
      </c>
      <c r="G29" s="6">
        <f>C29</f>
        <v>355</v>
      </c>
      <c r="H29" s="6">
        <f>C29</f>
        <v>355</v>
      </c>
      <c r="I29" s="6">
        <f>C29</f>
        <v>355</v>
      </c>
      <c r="J29" s="6">
        <f>C29</f>
        <v>355</v>
      </c>
      <c r="K29" s="6">
        <f>C29</f>
        <v>355</v>
      </c>
      <c r="L29" s="8">
        <f>C29</f>
        <v>355</v>
      </c>
      <c r="M29" s="6">
        <f>C29</f>
        <v>355</v>
      </c>
      <c r="N29" s="6">
        <f>C29</f>
        <v>355</v>
      </c>
      <c r="O29" s="6">
        <f>C29</f>
        <v>355</v>
      </c>
    </row>
    <row r="30" spans="1:15">
      <c r="B30" t="s">
        <v>40</v>
      </c>
      <c r="C30" s="26">
        <f>F8</f>
        <v>450</v>
      </c>
      <c r="D30" s="6">
        <f t="shared" ref="D30:O31" si="2">C30</f>
        <v>450</v>
      </c>
      <c r="E30" s="6">
        <f t="shared" si="2"/>
        <v>450</v>
      </c>
      <c r="F30" s="6">
        <f t="shared" si="2"/>
        <v>450</v>
      </c>
      <c r="G30" s="6">
        <f t="shared" si="2"/>
        <v>450</v>
      </c>
      <c r="H30" s="6">
        <f t="shared" si="2"/>
        <v>450</v>
      </c>
      <c r="I30" s="6">
        <f t="shared" si="2"/>
        <v>450</v>
      </c>
      <c r="J30" s="6">
        <f t="shared" si="2"/>
        <v>450</v>
      </c>
      <c r="K30" s="6">
        <f t="shared" si="2"/>
        <v>450</v>
      </c>
      <c r="L30" s="6">
        <f t="shared" si="2"/>
        <v>450</v>
      </c>
      <c r="M30" s="6">
        <f t="shared" si="2"/>
        <v>450</v>
      </c>
      <c r="N30" s="6">
        <f t="shared" si="2"/>
        <v>450</v>
      </c>
      <c r="O30" s="6">
        <f t="shared" si="2"/>
        <v>450</v>
      </c>
    </row>
    <row r="31" spans="1:15">
      <c r="B31" t="s">
        <v>41</v>
      </c>
      <c r="C31" s="27">
        <f>F9</f>
        <v>75</v>
      </c>
      <c r="D31" s="6">
        <f t="shared" si="2"/>
        <v>75</v>
      </c>
      <c r="E31" s="6">
        <f t="shared" si="2"/>
        <v>75</v>
      </c>
      <c r="F31" s="6">
        <f t="shared" si="2"/>
        <v>75</v>
      </c>
      <c r="G31" s="6">
        <f t="shared" si="2"/>
        <v>75</v>
      </c>
      <c r="H31" s="6">
        <f t="shared" si="2"/>
        <v>75</v>
      </c>
      <c r="I31" s="6">
        <f t="shared" si="2"/>
        <v>75</v>
      </c>
      <c r="J31" s="6">
        <f t="shared" si="2"/>
        <v>75</v>
      </c>
      <c r="K31" s="6">
        <f t="shared" si="2"/>
        <v>75</v>
      </c>
      <c r="L31" s="6">
        <f t="shared" si="2"/>
        <v>75</v>
      </c>
      <c r="M31" s="6">
        <f t="shared" si="2"/>
        <v>75</v>
      </c>
      <c r="N31" s="6">
        <f t="shared" si="2"/>
        <v>75</v>
      </c>
      <c r="O31" s="6">
        <f t="shared" si="2"/>
        <v>75</v>
      </c>
    </row>
    <row r="32" spans="1:15">
      <c r="B32" t="s">
        <v>42</v>
      </c>
      <c r="C32" s="6">
        <v>0</v>
      </c>
      <c r="D32" s="6">
        <f>(D29+D30+D31)*(D18*1000000)</f>
        <v>220000000</v>
      </c>
      <c r="E32" s="6">
        <f t="shared" ref="E32:O32" si="3">(E29+E30+E31)*(E18*1000000)</f>
        <v>308000000</v>
      </c>
      <c r="F32" s="6">
        <f t="shared" si="3"/>
        <v>352000000</v>
      </c>
      <c r="G32" s="6">
        <f t="shared" si="3"/>
        <v>352000000</v>
      </c>
      <c r="H32" s="6">
        <f t="shared" si="3"/>
        <v>352000000</v>
      </c>
      <c r="I32" s="6">
        <f t="shared" si="3"/>
        <v>352000000</v>
      </c>
      <c r="J32" s="6">
        <f t="shared" si="3"/>
        <v>352000000</v>
      </c>
      <c r="K32" s="6">
        <f t="shared" si="3"/>
        <v>352000000</v>
      </c>
      <c r="L32" s="6">
        <f t="shared" si="3"/>
        <v>352000000</v>
      </c>
      <c r="M32" s="6">
        <f t="shared" si="3"/>
        <v>352000000</v>
      </c>
      <c r="N32" s="6">
        <f t="shared" si="3"/>
        <v>352000000</v>
      </c>
      <c r="O32" s="6">
        <f t="shared" si="3"/>
        <v>352000000</v>
      </c>
    </row>
    <row r="33" spans="2:15">
      <c r="B33" t="s">
        <v>10</v>
      </c>
      <c r="C33" s="6"/>
      <c r="D33" s="6">
        <f>D28-D32</f>
        <v>117112232.03026485</v>
      </c>
      <c r="E33" s="6">
        <f t="shared" ref="E33:O33" si="4">E28-E32</f>
        <v>163957124.84237087</v>
      </c>
      <c r="F33" s="6">
        <f t="shared" si="4"/>
        <v>187379571.24842381</v>
      </c>
      <c r="G33" s="6">
        <f t="shared" si="4"/>
        <v>187379571.24842381</v>
      </c>
      <c r="H33" s="6">
        <f t="shared" si="4"/>
        <v>187379571.24842381</v>
      </c>
      <c r="I33" s="6">
        <f t="shared" si="4"/>
        <v>187379571.24842381</v>
      </c>
      <c r="J33" s="6">
        <f t="shared" si="4"/>
        <v>187379571.24842381</v>
      </c>
      <c r="K33" s="6">
        <f t="shared" si="4"/>
        <v>187379571.24842381</v>
      </c>
      <c r="L33" s="6">
        <f t="shared" si="4"/>
        <v>187379571.24842381</v>
      </c>
      <c r="M33" s="6">
        <f t="shared" si="4"/>
        <v>187379571.24842381</v>
      </c>
      <c r="N33" s="6">
        <f t="shared" si="4"/>
        <v>187379571.24842381</v>
      </c>
      <c r="O33" s="6">
        <f t="shared" si="4"/>
        <v>187379571.24842381</v>
      </c>
    </row>
    <row r="34" spans="2:15">
      <c r="B34" t="s">
        <v>11</v>
      </c>
      <c r="C34" s="6"/>
      <c r="D34" s="6">
        <f>(C22/(C5*1000000))*(D18*1000000)</f>
        <v>33967391.304347828</v>
      </c>
      <c r="E34" s="6">
        <f>(C22/(C5*1000000))*(E18*1000000)</f>
        <v>47554347.826086961</v>
      </c>
      <c r="F34" s="6">
        <f>(C22/(C5*1000000))*(F18*1000000)</f>
        <v>54347826.086956523</v>
      </c>
      <c r="G34" s="6">
        <f>(C22/(C5*1000000))*(G18*1000000)</f>
        <v>54347826.086956523</v>
      </c>
      <c r="H34" s="6">
        <f>(C22/(C5*1000000))*(H18*1000000)</f>
        <v>54347826.086956523</v>
      </c>
      <c r="I34" s="6">
        <f>(C22/(C5*1000000))*(I18*1000000)</f>
        <v>54347826.086956523</v>
      </c>
      <c r="J34" s="6">
        <f>(C22/(C5*1000000))*(J18*1000000)</f>
        <v>54347826.086956523</v>
      </c>
      <c r="K34" s="6">
        <f>(C22/(C5*1000000))*(K18*1000000)</f>
        <v>54347826.086956523</v>
      </c>
      <c r="L34" s="6">
        <f>(C22/(C5*1000000))*(L18*1000000)</f>
        <v>54347826.086956523</v>
      </c>
      <c r="M34" s="6">
        <f>(C22/(C5*1000000))*(M18*1000000)</f>
        <v>54347826.086956523</v>
      </c>
      <c r="N34" s="6">
        <f>(C22/(C5*1000000))*(N18*1000000)</f>
        <v>54347826.086956523</v>
      </c>
      <c r="O34" s="6">
        <f>(C22/(C5*1000000))*(O18*1000000)</f>
        <v>54347826.086956523</v>
      </c>
    </row>
    <row r="35" spans="2:15">
      <c r="B35" t="s">
        <v>12</v>
      </c>
      <c r="C35" s="6"/>
      <c r="D35" s="6">
        <f>(D33-D34)*0.3</f>
        <v>24943452.217775106</v>
      </c>
      <c r="E35" s="6">
        <f t="shared" ref="E35:O35" si="5">(E33-E34)*0.3</f>
        <v>34920833.104885168</v>
      </c>
      <c r="F35" s="6">
        <f t="shared" si="5"/>
        <v>39909523.548440181</v>
      </c>
      <c r="G35" s="6">
        <f t="shared" si="5"/>
        <v>39909523.548440181</v>
      </c>
      <c r="H35" s="6">
        <f t="shared" si="5"/>
        <v>39909523.548440181</v>
      </c>
      <c r="I35" s="6">
        <f t="shared" si="5"/>
        <v>39909523.548440181</v>
      </c>
      <c r="J35" s="6">
        <f t="shared" si="5"/>
        <v>39909523.548440181</v>
      </c>
      <c r="K35" s="6">
        <f t="shared" si="5"/>
        <v>39909523.548440181</v>
      </c>
      <c r="L35" s="6">
        <f t="shared" si="5"/>
        <v>39909523.548440181</v>
      </c>
      <c r="M35" s="6">
        <f t="shared" si="5"/>
        <v>39909523.548440181</v>
      </c>
      <c r="N35" s="6">
        <f t="shared" si="5"/>
        <v>39909523.548440181</v>
      </c>
      <c r="O35" s="6">
        <f t="shared" si="5"/>
        <v>39909523.548440181</v>
      </c>
    </row>
    <row r="36" spans="2:15">
      <c r="B36" t="s">
        <v>13</v>
      </c>
      <c r="C36" s="6"/>
      <c r="D36" s="6">
        <f>D33-(D34+D35)</f>
        <v>58201388.50814192</v>
      </c>
      <c r="E36" s="6">
        <f t="shared" ref="E36:O36" si="6">E33-(E34+E35)</f>
        <v>81481943.911398739</v>
      </c>
      <c r="F36" s="6">
        <f t="shared" si="6"/>
        <v>93122221.613027111</v>
      </c>
      <c r="G36" s="6">
        <f t="shared" si="6"/>
        <v>93122221.613027111</v>
      </c>
      <c r="H36" s="6">
        <f t="shared" si="6"/>
        <v>93122221.613027111</v>
      </c>
      <c r="I36" s="6">
        <f t="shared" si="6"/>
        <v>93122221.613027111</v>
      </c>
      <c r="J36" s="6">
        <f t="shared" si="6"/>
        <v>93122221.613027111</v>
      </c>
      <c r="K36" s="6">
        <f t="shared" si="6"/>
        <v>93122221.613027111</v>
      </c>
      <c r="L36" s="6">
        <f t="shared" si="6"/>
        <v>93122221.613027111</v>
      </c>
      <c r="M36" s="6">
        <f t="shared" si="6"/>
        <v>93122221.613027111</v>
      </c>
      <c r="N36" s="6">
        <f t="shared" si="6"/>
        <v>93122221.613027111</v>
      </c>
      <c r="O36" s="6">
        <f t="shared" si="6"/>
        <v>93122221.613027111</v>
      </c>
    </row>
    <row r="37" spans="2:15">
      <c r="C37" s="6"/>
      <c r="D37" s="6"/>
      <c r="E37" s="6"/>
      <c r="F37" s="6"/>
      <c r="G37" s="6"/>
      <c r="H37" s="6"/>
      <c r="L37" s="8"/>
    </row>
    <row r="38" spans="2:15">
      <c r="B38" t="s">
        <v>14</v>
      </c>
      <c r="C38" s="6"/>
      <c r="D38" s="6">
        <f>F10*D36</f>
        <v>20370485.97784967</v>
      </c>
      <c r="E38" s="6">
        <f>F10*E36</f>
        <v>28518680.368989557</v>
      </c>
      <c r="F38" s="6">
        <f>F10*F36</f>
        <v>32592777.564559486</v>
      </c>
      <c r="G38" s="6">
        <f>F10*G36</f>
        <v>32592777.564559486</v>
      </c>
      <c r="H38" s="6">
        <f>F10*H36</f>
        <v>32592777.564559486</v>
      </c>
      <c r="I38" s="6">
        <f>F10*I36</f>
        <v>32592777.564559486</v>
      </c>
      <c r="J38" s="6">
        <f>F10*J36</f>
        <v>32592777.564559486</v>
      </c>
      <c r="K38" s="6">
        <f>F10*K36</f>
        <v>32592777.564559486</v>
      </c>
      <c r="L38" s="6">
        <f>F10*L36</f>
        <v>32592777.564559486</v>
      </c>
      <c r="M38" s="6">
        <f>F10*M36</f>
        <v>32592777.564559486</v>
      </c>
      <c r="N38" s="6">
        <f>F10*N36</f>
        <v>32592777.564559486</v>
      </c>
      <c r="O38" s="6">
        <f>F10*O36</f>
        <v>32592777.564559486</v>
      </c>
    </row>
    <row r="39" spans="2:15">
      <c r="B39" t="s">
        <v>15</v>
      </c>
      <c r="C39" s="6"/>
      <c r="D39" s="6">
        <f>D36-D38</f>
        <v>37830902.53029225</v>
      </c>
      <c r="E39" s="6">
        <f t="shared" ref="E39:O39" si="7">E36-E38</f>
        <v>52963263.542409182</v>
      </c>
      <c r="F39" s="6">
        <f t="shared" si="7"/>
        <v>60529444.048467621</v>
      </c>
      <c r="G39" s="6">
        <f t="shared" si="7"/>
        <v>60529444.048467621</v>
      </c>
      <c r="H39" s="6">
        <f t="shared" si="7"/>
        <v>60529444.048467621</v>
      </c>
      <c r="I39" s="6">
        <f t="shared" si="7"/>
        <v>60529444.048467621</v>
      </c>
      <c r="J39" s="6">
        <f t="shared" si="7"/>
        <v>60529444.048467621</v>
      </c>
      <c r="K39" s="6">
        <f t="shared" si="7"/>
        <v>60529444.048467621</v>
      </c>
      <c r="L39" s="6">
        <f t="shared" si="7"/>
        <v>60529444.048467621</v>
      </c>
      <c r="M39" s="6">
        <f t="shared" si="7"/>
        <v>60529444.048467621</v>
      </c>
      <c r="N39" s="6">
        <f t="shared" si="7"/>
        <v>60529444.048467621</v>
      </c>
      <c r="O39" s="6">
        <f t="shared" si="7"/>
        <v>60529444.048467621</v>
      </c>
    </row>
    <row r="40" spans="2:15">
      <c r="C40" s="6"/>
      <c r="D40" s="6"/>
      <c r="E40" s="6"/>
      <c r="F40" s="6"/>
      <c r="G40" s="6"/>
      <c r="H40" s="6"/>
      <c r="L40" s="8"/>
    </row>
    <row r="41" spans="2:15">
      <c r="B41" t="s">
        <v>16</v>
      </c>
      <c r="C41" s="6"/>
      <c r="D41" s="6">
        <f>D34+D35+D39</f>
        <v>96741746.052415192</v>
      </c>
      <c r="E41" s="6">
        <f t="shared" ref="E41:N41" si="8">E34+E35+E39</f>
        <v>135438444.47338131</v>
      </c>
      <c r="F41" s="6">
        <f t="shared" si="8"/>
        <v>154786793.68386433</v>
      </c>
      <c r="G41" s="6">
        <f t="shared" si="8"/>
        <v>154786793.68386433</v>
      </c>
      <c r="H41" s="6">
        <f t="shared" si="8"/>
        <v>154786793.68386433</v>
      </c>
      <c r="I41" s="6">
        <f t="shared" si="8"/>
        <v>154786793.68386433</v>
      </c>
      <c r="J41" s="6">
        <f t="shared" si="8"/>
        <v>154786793.68386433</v>
      </c>
      <c r="K41" s="6">
        <f t="shared" si="8"/>
        <v>154786793.68386433</v>
      </c>
      <c r="L41" s="6">
        <f t="shared" si="8"/>
        <v>154786793.68386433</v>
      </c>
      <c r="M41" s="6">
        <f t="shared" si="8"/>
        <v>154786793.68386433</v>
      </c>
      <c r="N41" s="6">
        <f t="shared" si="8"/>
        <v>154786793.68386433</v>
      </c>
      <c r="O41" s="6">
        <f>O34+O35+O39+(-O23)</f>
        <v>242786793.68386433</v>
      </c>
    </row>
    <row r="42" spans="2:15">
      <c r="C42" s="6"/>
      <c r="D42" s="6"/>
      <c r="E42" s="6"/>
      <c r="F42" s="6"/>
      <c r="G42" s="6"/>
      <c r="H42" s="6"/>
      <c r="L42" s="8"/>
    </row>
    <row r="43" spans="2:15">
      <c r="C43" s="6"/>
      <c r="D43" s="6"/>
      <c r="E43" s="6"/>
      <c r="F43" s="6"/>
      <c r="G43" s="6"/>
      <c r="H43" s="6"/>
      <c r="L43" s="8"/>
    </row>
    <row r="44" spans="2:15">
      <c r="B44" t="s">
        <v>18</v>
      </c>
      <c r="C44" s="6">
        <f>-C24</f>
        <v>-713000000</v>
      </c>
      <c r="D44" s="6">
        <f>D41</f>
        <v>96741746.052415192</v>
      </c>
      <c r="E44" s="6">
        <f t="shared" ref="E44:O44" si="9">E41</f>
        <v>135438444.47338131</v>
      </c>
      <c r="F44" s="6">
        <f t="shared" si="9"/>
        <v>154786793.68386433</v>
      </c>
      <c r="G44" s="6">
        <f t="shared" si="9"/>
        <v>154786793.68386433</v>
      </c>
      <c r="H44" s="6">
        <f t="shared" si="9"/>
        <v>154786793.68386433</v>
      </c>
      <c r="I44" s="6">
        <f t="shared" si="9"/>
        <v>154786793.68386433</v>
      </c>
      <c r="J44" s="6">
        <f t="shared" si="9"/>
        <v>154786793.68386433</v>
      </c>
      <c r="K44" s="6">
        <f t="shared" si="9"/>
        <v>154786793.68386433</v>
      </c>
      <c r="L44" s="6">
        <f t="shared" si="9"/>
        <v>154786793.68386433</v>
      </c>
      <c r="M44" s="6">
        <f t="shared" si="9"/>
        <v>154786793.68386433</v>
      </c>
      <c r="N44" s="6">
        <f t="shared" si="9"/>
        <v>154786793.68386433</v>
      </c>
      <c r="O44" s="6">
        <f t="shared" si="9"/>
        <v>242786793.68386433</v>
      </c>
    </row>
    <row r="45" spans="2:15">
      <c r="D45" s="18"/>
      <c r="L45" s="8"/>
    </row>
    <row r="46" spans="2:15">
      <c r="D46" s="18"/>
      <c r="L46" s="8"/>
    </row>
    <row r="47" spans="2:15">
      <c r="C47" s="11" t="s">
        <v>1</v>
      </c>
      <c r="D47" s="31">
        <f>NPV(0.15,D44:O44)+C44</f>
        <v>77383977.62535584</v>
      </c>
      <c r="L47" s="8"/>
    </row>
    <row r="48" spans="2:15">
      <c r="C48" s="11" t="s">
        <v>0</v>
      </c>
      <c r="D48" s="32">
        <f>IRR(C44:O44)</f>
        <v>0.17277137682164292</v>
      </c>
      <c r="L48" s="8"/>
    </row>
    <row r="49" spans="4:12">
      <c r="D49" s="18"/>
      <c r="L49" s="8"/>
    </row>
  </sheetData>
  <pageMargins left="0.7" right="0.7" top="0.75" bottom="0.75" header="0.3" footer="0.3"/>
  <pageSetup paperSize="9"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77"/>
  <sheetViews>
    <sheetView topLeftCell="A13" zoomScale="40" zoomScaleNormal="40" workbookViewId="0">
      <selection activeCell="S71" sqref="S71"/>
    </sheetView>
  </sheetViews>
  <sheetFormatPr baseColWidth="10" defaultRowHeight="15"/>
  <cols>
    <col min="2" max="2" width="31" bestFit="1" customWidth="1"/>
    <col min="3" max="3" width="19" customWidth="1"/>
    <col min="4" max="4" width="17.140625" customWidth="1"/>
    <col min="5" max="5" width="16.28515625" customWidth="1"/>
    <col min="6" max="6" width="17.42578125" customWidth="1"/>
    <col min="7" max="7" width="17.7109375" customWidth="1"/>
    <col min="8" max="8" width="21.5703125" bestFit="1" customWidth="1"/>
    <col min="9" max="9" width="16.85546875" customWidth="1"/>
    <col min="10" max="10" width="16.7109375" customWidth="1"/>
    <col min="11" max="11" width="16.5703125" customWidth="1"/>
    <col min="12" max="12" width="17.140625" customWidth="1"/>
    <col min="13" max="13" width="18.5703125" customWidth="1"/>
    <col min="14" max="14" width="18.42578125" customWidth="1"/>
    <col min="15" max="15" width="16.85546875" customWidth="1"/>
  </cols>
  <sheetData>
    <row r="1" spans="1:15">
      <c r="B1" s="9" t="s">
        <v>65</v>
      </c>
      <c r="C1" s="9" t="s">
        <v>66</v>
      </c>
      <c r="D1" s="18"/>
      <c r="E1" s="25" t="s">
        <v>55</v>
      </c>
      <c r="F1" s="25"/>
      <c r="G1" s="25"/>
      <c r="H1" s="25"/>
      <c r="I1" s="25"/>
      <c r="J1" s="25"/>
    </row>
    <row r="2" spans="1:15">
      <c r="D2" s="18"/>
    </row>
    <row r="3" spans="1:15">
      <c r="D3" s="18"/>
    </row>
    <row r="4" spans="1:15">
      <c r="D4" s="18"/>
    </row>
    <row r="5" spans="1:15">
      <c r="B5" t="s">
        <v>60</v>
      </c>
      <c r="C5" s="23">
        <v>4.5999999999999996</v>
      </c>
      <c r="D5" s="18"/>
      <c r="E5" t="s">
        <v>49</v>
      </c>
      <c r="F5" s="23">
        <v>120</v>
      </c>
      <c r="H5" t="s">
        <v>62</v>
      </c>
      <c r="I5" s="30">
        <v>0.25</v>
      </c>
      <c r="L5" s="8"/>
    </row>
    <row r="6" spans="1:15">
      <c r="B6" t="s">
        <v>43</v>
      </c>
      <c r="C6" s="22">
        <v>1400</v>
      </c>
      <c r="D6" s="22"/>
      <c r="E6" t="s">
        <v>59</v>
      </c>
      <c r="F6" s="23">
        <v>130</v>
      </c>
      <c r="G6" s="22"/>
      <c r="H6" s="29" t="s">
        <v>63</v>
      </c>
      <c r="I6" s="30">
        <v>0.35</v>
      </c>
      <c r="J6" s="22"/>
      <c r="K6" s="22"/>
      <c r="L6" s="22"/>
      <c r="M6" s="22"/>
      <c r="N6" s="22"/>
      <c r="O6" s="22"/>
    </row>
    <row r="7" spans="1:15">
      <c r="B7" t="s">
        <v>44</v>
      </c>
      <c r="C7" s="23">
        <v>0.69</v>
      </c>
      <c r="D7" s="23"/>
      <c r="E7" t="s">
        <v>56</v>
      </c>
      <c r="F7" s="23">
        <v>160</v>
      </c>
      <c r="G7" s="23"/>
      <c r="H7" s="28" t="s">
        <v>64</v>
      </c>
      <c r="I7" s="30">
        <v>0.4</v>
      </c>
      <c r="J7" s="23"/>
      <c r="K7" s="23"/>
      <c r="L7" s="23"/>
      <c r="M7" s="23"/>
      <c r="N7" s="23"/>
      <c r="O7" s="23"/>
    </row>
    <row r="8" spans="1:15">
      <c r="B8" t="s">
        <v>45</v>
      </c>
      <c r="C8" s="23">
        <v>0.67</v>
      </c>
      <c r="D8" s="23"/>
      <c r="E8" t="s">
        <v>58</v>
      </c>
      <c r="F8" s="23">
        <v>450</v>
      </c>
      <c r="G8" s="23"/>
      <c r="H8" s="23"/>
      <c r="I8" s="23"/>
      <c r="J8" s="23"/>
      <c r="K8" s="23"/>
      <c r="L8" s="23"/>
      <c r="M8" s="23"/>
      <c r="N8" s="23"/>
      <c r="O8" s="23"/>
    </row>
    <row r="9" spans="1:15">
      <c r="B9" t="s">
        <v>46</v>
      </c>
      <c r="C9" s="23">
        <v>1.5</v>
      </c>
      <c r="D9" s="23"/>
      <c r="E9" t="s">
        <v>57</v>
      </c>
      <c r="F9" s="23">
        <v>75</v>
      </c>
      <c r="G9" s="23"/>
      <c r="H9" s="28" t="s">
        <v>72</v>
      </c>
      <c r="I9" s="23">
        <v>0.2</v>
      </c>
      <c r="J9" s="23"/>
      <c r="K9" s="23"/>
      <c r="L9" s="23"/>
      <c r="M9" s="23"/>
      <c r="N9" s="23"/>
      <c r="O9" s="23"/>
    </row>
    <row r="10" spans="1:15">
      <c r="B10" t="s">
        <v>47</v>
      </c>
      <c r="C10" s="23">
        <v>0.05</v>
      </c>
      <c r="D10" s="23"/>
      <c r="E10" t="s">
        <v>61</v>
      </c>
      <c r="F10" s="23">
        <v>0.35</v>
      </c>
      <c r="G10" s="23"/>
      <c r="H10" s="28" t="s">
        <v>6</v>
      </c>
      <c r="I10" s="23">
        <v>0.3</v>
      </c>
      <c r="J10" s="23"/>
      <c r="K10" s="23"/>
      <c r="L10" s="23"/>
      <c r="M10" s="23"/>
      <c r="N10" s="23"/>
      <c r="O10" s="23"/>
    </row>
    <row r="11" spans="1:15">
      <c r="B11" t="s">
        <v>48</v>
      </c>
      <c r="C11" s="23">
        <v>100</v>
      </c>
      <c r="D11" s="23"/>
      <c r="E11" t="s">
        <v>2</v>
      </c>
      <c r="F11" s="24">
        <v>625000000</v>
      </c>
      <c r="G11" s="23"/>
      <c r="H11" s="28" t="s">
        <v>75</v>
      </c>
      <c r="I11" s="23">
        <v>0.14000000000000001</v>
      </c>
      <c r="J11" s="23"/>
      <c r="K11" s="23"/>
      <c r="L11" s="23"/>
      <c r="M11" s="23"/>
      <c r="N11" s="23"/>
      <c r="O11" s="23"/>
    </row>
    <row r="12" spans="1:15"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5"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15">
      <c r="D14" s="18"/>
      <c r="L14" s="8"/>
    </row>
    <row r="15" spans="1:15">
      <c r="B15" s="20" t="s">
        <v>67</v>
      </c>
      <c r="D15" s="18"/>
    </row>
    <row r="16" spans="1:15">
      <c r="A16" s="33"/>
      <c r="B16" s="16" t="s">
        <v>35</v>
      </c>
      <c r="C16" s="7">
        <v>0</v>
      </c>
      <c r="D16" s="7">
        <v>1</v>
      </c>
      <c r="E16" s="7">
        <v>2</v>
      </c>
      <c r="F16" s="7">
        <v>3</v>
      </c>
      <c r="G16" s="7">
        <v>4</v>
      </c>
      <c r="H16" s="7">
        <v>5</v>
      </c>
      <c r="I16" s="7">
        <v>6</v>
      </c>
      <c r="J16" s="7">
        <v>7</v>
      </c>
      <c r="K16" s="7">
        <v>8</v>
      </c>
      <c r="L16" s="7">
        <v>9</v>
      </c>
      <c r="M16" s="7">
        <v>10</v>
      </c>
      <c r="N16" s="7">
        <v>11</v>
      </c>
      <c r="O16" s="7">
        <v>12</v>
      </c>
    </row>
    <row r="17" spans="1:15">
      <c r="A17" s="14"/>
      <c r="C17" s="7"/>
      <c r="D17" s="19"/>
      <c r="E17" s="7"/>
      <c r="F17" s="7"/>
      <c r="G17" s="7"/>
      <c r="H17" s="7"/>
      <c r="L17" s="8"/>
    </row>
    <row r="18" spans="1:15">
      <c r="A18" s="14"/>
      <c r="B18" t="s">
        <v>36</v>
      </c>
      <c r="C18" s="7"/>
      <c r="D18" s="19">
        <f>I5</f>
        <v>0.25</v>
      </c>
      <c r="E18" s="19">
        <f>I6</f>
        <v>0.35</v>
      </c>
      <c r="F18" s="19">
        <f>I7</f>
        <v>0.4</v>
      </c>
      <c r="G18" s="19">
        <f>I7</f>
        <v>0.4</v>
      </c>
      <c r="H18" s="19">
        <f>I7</f>
        <v>0.4</v>
      </c>
      <c r="I18" s="19">
        <f>I7</f>
        <v>0.4</v>
      </c>
      <c r="J18" s="19">
        <f>I7</f>
        <v>0.4</v>
      </c>
      <c r="K18" s="19">
        <f>I7</f>
        <v>0.4</v>
      </c>
      <c r="L18" s="19">
        <f>I7</f>
        <v>0.4</v>
      </c>
      <c r="M18" s="19">
        <f>I7</f>
        <v>0.4</v>
      </c>
      <c r="N18" s="19">
        <f>I7</f>
        <v>0.4</v>
      </c>
      <c r="O18" s="19">
        <f>I7</f>
        <v>0.4</v>
      </c>
    </row>
    <row r="19" spans="1:15">
      <c r="A19" s="14"/>
      <c r="B19" t="s">
        <v>50</v>
      </c>
      <c r="C19" s="7"/>
      <c r="D19" s="19">
        <f>D18*D20</f>
        <v>0.375</v>
      </c>
      <c r="E19" s="19">
        <f>E18*C9</f>
        <v>0.52499999999999991</v>
      </c>
      <c r="F19" s="19">
        <f>F18*C9</f>
        <v>0.60000000000000009</v>
      </c>
      <c r="G19" s="19">
        <f>C9*G18</f>
        <v>0.60000000000000009</v>
      </c>
      <c r="H19" s="19">
        <f>C9*H18</f>
        <v>0.60000000000000009</v>
      </c>
      <c r="I19" s="19">
        <f>C9*I18</f>
        <v>0.60000000000000009</v>
      </c>
      <c r="J19" s="19">
        <f>C9*J18</f>
        <v>0.60000000000000009</v>
      </c>
      <c r="K19" s="19">
        <f>C9*K18</f>
        <v>0.60000000000000009</v>
      </c>
      <c r="L19" s="19">
        <f>C9*L18</f>
        <v>0.60000000000000009</v>
      </c>
      <c r="M19" s="19">
        <f>C9*M18</f>
        <v>0.60000000000000009</v>
      </c>
      <c r="N19" s="19">
        <f>C9*N18</f>
        <v>0.60000000000000009</v>
      </c>
      <c r="O19" s="19">
        <f>C9*O18</f>
        <v>0.60000000000000009</v>
      </c>
    </row>
    <row r="20" spans="1:15">
      <c r="A20" s="14"/>
      <c r="B20" t="s">
        <v>51</v>
      </c>
      <c r="C20" s="7"/>
      <c r="D20" s="19">
        <f>C9</f>
        <v>1.5</v>
      </c>
      <c r="E20" s="19">
        <f>C9</f>
        <v>1.5</v>
      </c>
      <c r="F20" s="19">
        <f>C9</f>
        <v>1.5</v>
      </c>
      <c r="G20" s="19">
        <f>C9</f>
        <v>1.5</v>
      </c>
      <c r="H20" s="19">
        <f>C9</f>
        <v>1.5</v>
      </c>
      <c r="I20" s="19">
        <f>C9</f>
        <v>1.5</v>
      </c>
      <c r="J20" s="19">
        <f>C9</f>
        <v>1.5</v>
      </c>
      <c r="K20" s="19">
        <f>C9</f>
        <v>1.5</v>
      </c>
      <c r="L20" s="19">
        <f>C9</f>
        <v>1.5</v>
      </c>
      <c r="M20" s="19">
        <f>C9</f>
        <v>1.5</v>
      </c>
      <c r="N20" s="19">
        <f>C9</f>
        <v>1.5</v>
      </c>
      <c r="O20" s="19">
        <f>C9</f>
        <v>1.5</v>
      </c>
    </row>
    <row r="21" spans="1:15">
      <c r="A21" s="15"/>
      <c r="C21" s="6"/>
      <c r="D21" s="19"/>
      <c r="E21" s="19"/>
      <c r="F21" s="19"/>
      <c r="G21" s="6"/>
      <c r="H21" s="6"/>
    </row>
    <row r="22" spans="1:15">
      <c r="B22" t="s">
        <v>53</v>
      </c>
      <c r="C22" s="26">
        <f>F11</f>
        <v>625000000</v>
      </c>
      <c r="D22" s="17"/>
      <c r="E22" s="17"/>
      <c r="F22" s="17"/>
      <c r="G22" s="6"/>
      <c r="H22" s="6"/>
      <c r="L22" s="8"/>
    </row>
    <row r="23" spans="1:15">
      <c r="B23" t="s">
        <v>54</v>
      </c>
      <c r="C23" s="6">
        <f>(3/12)*F35</f>
        <v>88000000</v>
      </c>
      <c r="D23" s="17"/>
      <c r="E23" s="17"/>
      <c r="F23" s="17"/>
      <c r="G23" s="6"/>
      <c r="H23" s="6"/>
      <c r="L23" s="8"/>
      <c r="O23" s="6">
        <f>-C23</f>
        <v>-88000000</v>
      </c>
    </row>
    <row r="24" spans="1:15">
      <c r="B24" t="s">
        <v>52</v>
      </c>
      <c r="C24" s="6">
        <f>C22+C23</f>
        <v>713000000</v>
      </c>
      <c r="D24" s="17"/>
      <c r="E24" s="17"/>
      <c r="F24" s="17"/>
      <c r="G24" s="6"/>
      <c r="H24" s="6"/>
      <c r="L24" s="8"/>
      <c r="O24" s="6">
        <f>-C23</f>
        <v>-88000000</v>
      </c>
    </row>
    <row r="25" spans="1:15">
      <c r="B25" t="s">
        <v>69</v>
      </c>
      <c r="C25" s="6">
        <f>I9*C22</f>
        <v>125000000</v>
      </c>
      <c r="D25" s="17"/>
      <c r="E25" s="17"/>
      <c r="F25" s="17"/>
      <c r="G25" s="6"/>
      <c r="H25" s="6"/>
      <c r="L25" s="8"/>
      <c r="O25" s="6"/>
    </row>
    <row r="26" spans="1:15">
      <c r="B26" t="s">
        <v>71</v>
      </c>
      <c r="C26" s="6">
        <f>I10*C22</f>
        <v>187500000</v>
      </c>
      <c r="D26" s="17"/>
      <c r="E26" s="17"/>
      <c r="F26" s="17"/>
      <c r="G26" s="6"/>
      <c r="H26" s="6"/>
      <c r="L26" s="8"/>
      <c r="O26" s="6"/>
    </row>
    <row r="27" spans="1:15">
      <c r="B27" t="s">
        <v>68</v>
      </c>
      <c r="C27" s="6">
        <f>(C22)-(C25+C26)</f>
        <v>312500000</v>
      </c>
      <c r="D27" s="17"/>
      <c r="E27" s="17"/>
      <c r="F27" s="17"/>
      <c r="G27" s="6"/>
      <c r="H27" s="6"/>
      <c r="L27" s="8"/>
      <c r="O27" s="6"/>
    </row>
    <row r="28" spans="1:15">
      <c r="A28" t="s">
        <v>70</v>
      </c>
      <c r="C28" s="6"/>
      <c r="D28" s="17"/>
      <c r="E28" s="17"/>
      <c r="F28" s="17"/>
      <c r="G28" s="6"/>
      <c r="H28" s="6"/>
      <c r="L28" s="8"/>
    </row>
    <row r="29" spans="1:15">
      <c r="A29" s="5"/>
      <c r="B29" s="5" t="s">
        <v>37</v>
      </c>
      <c r="C29" s="5"/>
      <c r="D29" s="21">
        <f>(D18*1000000)*C8*(C6*(10/7.93))*(1/1000000)*(1/C7)</f>
        <v>428.5688177348905</v>
      </c>
      <c r="E29" s="21">
        <f>(E18*1000000)*C8*(C6*(10/7.93))*(1/1000000)*(1/C7)</f>
        <v>599.99634482884676</v>
      </c>
      <c r="F29" s="21">
        <f>(F18*1000000)*C8*(C6*(10/7.93))*(1/1000000)*(1/C7)</f>
        <v>685.7101083758248</v>
      </c>
      <c r="G29" s="5">
        <f>(G18*1000000)*C8*(C6*(10/7.93))*(1/1000000)*(1/C7)</f>
        <v>685.7101083758248</v>
      </c>
      <c r="H29" s="5">
        <f>(H18*1000000)*C8*(C6*(10/7.93))*(1/1000000)*(1/C7)</f>
        <v>685.7101083758248</v>
      </c>
      <c r="I29" s="5">
        <f>(I18*1000000)*C8*(C6*(10/7.93))*(1/1000000)*(1/C7)</f>
        <v>685.7101083758248</v>
      </c>
      <c r="J29" s="5">
        <f>(J18*1000000)*C8*(C6*(10/7.93))*(1/1000000)*(1/C7)</f>
        <v>685.7101083758248</v>
      </c>
      <c r="K29" s="5">
        <f>(K18*1000000)*C8*(C6*(10/7.93))*(1/1000000)*(1/C7)</f>
        <v>685.7101083758248</v>
      </c>
      <c r="L29" s="5">
        <f>(L18*1000000)*C8*(C6*(10/7.93))*(1/1000000)*(1/C7)</f>
        <v>685.7101083758248</v>
      </c>
      <c r="M29" s="5">
        <f>(M18*1000000)*C8*(C6*(10/7.93))*(1/1000000)*(1/C7)</f>
        <v>685.7101083758248</v>
      </c>
      <c r="N29" s="5">
        <f>(N18*1000000)*C8*(C6*(10/7.93))*(1/1000000)*(1/C7)</f>
        <v>685.7101083758248</v>
      </c>
      <c r="O29" s="5">
        <f>(O18*1000000)*C8*(C6*(10/7.93))*(1/1000000)*(1/C7)</f>
        <v>685.7101083758248</v>
      </c>
    </row>
    <row r="30" spans="1:15">
      <c r="B30" t="s">
        <v>38</v>
      </c>
      <c r="C30" s="6"/>
      <c r="D30" s="6">
        <f>C11*F5*(C7*100)- ((C7*100)*C11*F5*C10)</f>
        <v>786600</v>
      </c>
      <c r="E30" s="6">
        <f>D30</f>
        <v>786600</v>
      </c>
      <c r="F30" s="6">
        <f>D30</f>
        <v>786600</v>
      </c>
      <c r="G30" s="6">
        <f>D30</f>
        <v>786600</v>
      </c>
      <c r="H30" s="6">
        <f>D30</f>
        <v>786600</v>
      </c>
      <c r="I30" s="6">
        <f>D30</f>
        <v>786600</v>
      </c>
      <c r="J30" s="6">
        <f>D30</f>
        <v>786600</v>
      </c>
      <c r="K30" s="6">
        <f>D30</f>
        <v>786600</v>
      </c>
      <c r="L30" s="8">
        <f>D30</f>
        <v>786600</v>
      </c>
      <c r="M30" s="6">
        <f>D30</f>
        <v>786600</v>
      </c>
      <c r="N30" s="6">
        <f>D30</f>
        <v>786600</v>
      </c>
      <c r="O30" s="6">
        <f>D30</f>
        <v>786600</v>
      </c>
    </row>
    <row r="31" spans="1:15">
      <c r="B31" t="s">
        <v>19</v>
      </c>
      <c r="C31" s="6"/>
      <c r="D31" s="6">
        <f>D29*D30</f>
        <v>337112232.03026485</v>
      </c>
      <c r="E31" s="6">
        <f t="shared" ref="E31:H31" si="0">E29*E30</f>
        <v>471957124.84237087</v>
      </c>
      <c r="F31" s="6">
        <f t="shared" si="0"/>
        <v>539379571.24842381</v>
      </c>
      <c r="G31" s="6">
        <f t="shared" si="0"/>
        <v>539379571.24842381</v>
      </c>
      <c r="H31" s="6">
        <f t="shared" si="0"/>
        <v>539379571.24842381</v>
      </c>
      <c r="I31" s="6">
        <f>I29*I30</f>
        <v>539379571.24842381</v>
      </c>
      <c r="J31" s="6">
        <f t="shared" ref="J31:O31" si="1">J29*J30</f>
        <v>539379571.24842381</v>
      </c>
      <c r="K31" s="6">
        <f t="shared" si="1"/>
        <v>539379571.24842381</v>
      </c>
      <c r="L31" s="6">
        <f t="shared" si="1"/>
        <v>539379571.24842381</v>
      </c>
      <c r="M31" s="6">
        <f t="shared" si="1"/>
        <v>539379571.24842381</v>
      </c>
      <c r="N31" s="6">
        <f t="shared" si="1"/>
        <v>539379571.24842381</v>
      </c>
      <c r="O31" s="6">
        <f t="shared" si="1"/>
        <v>539379571.24842381</v>
      </c>
    </row>
    <row r="32" spans="1:15">
      <c r="B32" t="s">
        <v>39</v>
      </c>
      <c r="C32" s="6">
        <f>F6*C9+F7</f>
        <v>355</v>
      </c>
      <c r="D32" s="6">
        <f>C32</f>
        <v>355</v>
      </c>
      <c r="E32" s="6">
        <f>C32</f>
        <v>355</v>
      </c>
      <c r="F32" s="6">
        <f>C32</f>
        <v>355</v>
      </c>
      <c r="G32" s="6">
        <f>C32</f>
        <v>355</v>
      </c>
      <c r="H32" s="6">
        <f>C32</f>
        <v>355</v>
      </c>
      <c r="I32" s="6">
        <f>C32</f>
        <v>355</v>
      </c>
      <c r="J32" s="6">
        <f>C32</f>
        <v>355</v>
      </c>
      <c r="K32" s="6">
        <f>C32</f>
        <v>355</v>
      </c>
      <c r="L32" s="8">
        <f>C32</f>
        <v>355</v>
      </c>
      <c r="M32" s="6">
        <f>C32</f>
        <v>355</v>
      </c>
      <c r="N32" s="6">
        <f>C32</f>
        <v>355</v>
      </c>
      <c r="O32" s="6">
        <f>C32</f>
        <v>355</v>
      </c>
    </row>
    <row r="33" spans="2:15">
      <c r="B33" t="s">
        <v>40</v>
      </c>
      <c r="C33" s="26">
        <f>F8</f>
        <v>450</v>
      </c>
      <c r="D33" s="6">
        <f t="shared" ref="D33:O34" si="2">C33</f>
        <v>450</v>
      </c>
      <c r="E33" s="6">
        <f t="shared" si="2"/>
        <v>450</v>
      </c>
      <c r="F33" s="6">
        <f t="shared" si="2"/>
        <v>450</v>
      </c>
      <c r="G33" s="6">
        <f t="shared" si="2"/>
        <v>450</v>
      </c>
      <c r="H33" s="6">
        <f t="shared" si="2"/>
        <v>450</v>
      </c>
      <c r="I33" s="6">
        <f t="shared" si="2"/>
        <v>450</v>
      </c>
      <c r="J33" s="6">
        <f t="shared" si="2"/>
        <v>450</v>
      </c>
      <c r="K33" s="6">
        <f t="shared" si="2"/>
        <v>450</v>
      </c>
      <c r="L33" s="6">
        <f t="shared" si="2"/>
        <v>450</v>
      </c>
      <c r="M33" s="6">
        <f t="shared" si="2"/>
        <v>450</v>
      </c>
      <c r="N33" s="6">
        <f t="shared" si="2"/>
        <v>450</v>
      </c>
      <c r="O33" s="6">
        <f t="shared" si="2"/>
        <v>450</v>
      </c>
    </row>
    <row r="34" spans="2:15">
      <c r="B34" t="s">
        <v>41</v>
      </c>
      <c r="C34" s="27">
        <f>F9</f>
        <v>75</v>
      </c>
      <c r="D34" s="6">
        <f t="shared" si="2"/>
        <v>75</v>
      </c>
      <c r="E34" s="6">
        <f t="shared" si="2"/>
        <v>75</v>
      </c>
      <c r="F34" s="6">
        <f t="shared" si="2"/>
        <v>75</v>
      </c>
      <c r="G34" s="6">
        <f t="shared" si="2"/>
        <v>75</v>
      </c>
      <c r="H34" s="6">
        <f t="shared" si="2"/>
        <v>75</v>
      </c>
      <c r="I34" s="6">
        <f t="shared" si="2"/>
        <v>75</v>
      </c>
      <c r="J34" s="6">
        <f t="shared" si="2"/>
        <v>75</v>
      </c>
      <c r="K34" s="6">
        <f t="shared" si="2"/>
        <v>75</v>
      </c>
      <c r="L34" s="6">
        <f t="shared" si="2"/>
        <v>75</v>
      </c>
      <c r="M34" s="6">
        <f t="shared" si="2"/>
        <v>75</v>
      </c>
      <c r="N34" s="6">
        <f t="shared" si="2"/>
        <v>75</v>
      </c>
      <c r="O34" s="6">
        <f t="shared" si="2"/>
        <v>75</v>
      </c>
    </row>
    <row r="35" spans="2:15">
      <c r="B35" t="s">
        <v>42</v>
      </c>
      <c r="C35" s="6">
        <v>0</v>
      </c>
      <c r="D35" s="6">
        <f t="shared" ref="D35:O35" si="3">(D32+D33+D34)*(D18*1000000)</f>
        <v>220000000</v>
      </c>
      <c r="E35" s="6">
        <f t="shared" si="3"/>
        <v>308000000</v>
      </c>
      <c r="F35" s="6">
        <f t="shared" si="3"/>
        <v>352000000</v>
      </c>
      <c r="G35" s="6">
        <f t="shared" si="3"/>
        <v>352000000</v>
      </c>
      <c r="H35" s="6">
        <f t="shared" si="3"/>
        <v>352000000</v>
      </c>
      <c r="I35" s="6">
        <f t="shared" si="3"/>
        <v>352000000</v>
      </c>
      <c r="J35" s="6">
        <f t="shared" si="3"/>
        <v>352000000</v>
      </c>
      <c r="K35" s="6">
        <f t="shared" si="3"/>
        <v>352000000</v>
      </c>
      <c r="L35" s="6">
        <f t="shared" si="3"/>
        <v>352000000</v>
      </c>
      <c r="M35" s="6">
        <f t="shared" si="3"/>
        <v>352000000</v>
      </c>
      <c r="N35" s="6">
        <f t="shared" si="3"/>
        <v>352000000</v>
      </c>
      <c r="O35" s="6">
        <f t="shared" si="3"/>
        <v>352000000</v>
      </c>
    </row>
    <row r="36" spans="2:15">
      <c r="B36" t="s">
        <v>10</v>
      </c>
      <c r="C36" s="6"/>
      <c r="D36" s="6">
        <f>D31-D35</f>
        <v>117112232.03026485</v>
      </c>
      <c r="E36" s="6">
        <f t="shared" ref="E36:O36" si="4">E31-E35</f>
        <v>163957124.84237087</v>
      </c>
      <c r="F36" s="6">
        <f t="shared" si="4"/>
        <v>187379571.24842381</v>
      </c>
      <c r="G36" s="6">
        <f t="shared" si="4"/>
        <v>187379571.24842381</v>
      </c>
      <c r="H36" s="6">
        <f t="shared" si="4"/>
        <v>187379571.24842381</v>
      </c>
      <c r="I36" s="6">
        <f t="shared" si="4"/>
        <v>187379571.24842381</v>
      </c>
      <c r="J36" s="6">
        <f t="shared" si="4"/>
        <v>187379571.24842381</v>
      </c>
      <c r="K36" s="6">
        <f t="shared" si="4"/>
        <v>187379571.24842381</v>
      </c>
      <c r="L36" s="6">
        <f t="shared" si="4"/>
        <v>187379571.24842381</v>
      </c>
      <c r="M36" s="6">
        <f t="shared" si="4"/>
        <v>187379571.24842381</v>
      </c>
      <c r="N36" s="6">
        <f t="shared" si="4"/>
        <v>187379571.24842381</v>
      </c>
      <c r="O36" s="6">
        <f t="shared" si="4"/>
        <v>187379571.24842381</v>
      </c>
    </row>
    <row r="37" spans="2:15">
      <c r="B37" t="s">
        <v>11</v>
      </c>
      <c r="C37" s="6"/>
      <c r="D37" s="6">
        <f>(C22/(C5*1000000))*(D18*1000000)</f>
        <v>33967391.304347828</v>
      </c>
      <c r="E37" s="6">
        <f>(C22/(C5*1000000))*(E18*1000000)</f>
        <v>47554347.826086961</v>
      </c>
      <c r="F37" s="6">
        <f>(C22/(C5*1000000))*(F18*1000000)</f>
        <v>54347826.086956523</v>
      </c>
      <c r="G37" s="6">
        <f>(C22/(C5*1000000))*(G18*1000000)</f>
        <v>54347826.086956523</v>
      </c>
      <c r="H37" s="6">
        <f>(C22/(C5*1000000))*(H18*1000000)</f>
        <v>54347826.086956523</v>
      </c>
      <c r="I37" s="6">
        <f>(C22/(C5*1000000))*(I18*1000000)</f>
        <v>54347826.086956523</v>
      </c>
      <c r="J37" s="6">
        <f>(C22/(C5*1000000))*(J18*1000000)</f>
        <v>54347826.086956523</v>
      </c>
      <c r="K37" s="6">
        <f>(C22/(C5*1000000))*(K18*1000000)</f>
        <v>54347826.086956523</v>
      </c>
      <c r="L37" s="6">
        <f>(C22/(C5*1000000))*(L18*1000000)</f>
        <v>54347826.086956523</v>
      </c>
      <c r="M37" s="6">
        <f>(C22/(C5*1000000))*(M18*1000000)</f>
        <v>54347826.086956523</v>
      </c>
      <c r="N37" s="6">
        <f>(C22/(C5*1000000))*(N18*1000000)</f>
        <v>54347826.086956523</v>
      </c>
      <c r="O37" s="6">
        <f>(C22/(C5*1000000))*(O18*1000000)</f>
        <v>54347826.086956523</v>
      </c>
    </row>
    <row r="38" spans="2:15">
      <c r="B38" t="s">
        <v>12</v>
      </c>
      <c r="C38" s="6"/>
      <c r="D38" s="6">
        <f>(D36-D37)*0.3</f>
        <v>24943452.217775106</v>
      </c>
      <c r="E38" s="6">
        <f t="shared" ref="E38:O38" si="5">(E36-E37)*0.3</f>
        <v>34920833.104885168</v>
      </c>
      <c r="F38" s="6">
        <f t="shared" si="5"/>
        <v>39909523.548440181</v>
      </c>
      <c r="G38" s="6">
        <f t="shared" si="5"/>
        <v>39909523.548440181</v>
      </c>
      <c r="H38" s="6">
        <f t="shared" si="5"/>
        <v>39909523.548440181</v>
      </c>
      <c r="I38" s="6">
        <f t="shared" si="5"/>
        <v>39909523.548440181</v>
      </c>
      <c r="J38" s="6">
        <f t="shared" si="5"/>
        <v>39909523.548440181</v>
      </c>
      <c r="K38" s="6">
        <f t="shared" si="5"/>
        <v>39909523.548440181</v>
      </c>
      <c r="L38" s="6">
        <f t="shared" si="5"/>
        <v>39909523.548440181</v>
      </c>
      <c r="M38" s="6">
        <f t="shared" si="5"/>
        <v>39909523.548440181</v>
      </c>
      <c r="N38" s="6">
        <f t="shared" si="5"/>
        <v>39909523.548440181</v>
      </c>
      <c r="O38" s="6">
        <f t="shared" si="5"/>
        <v>39909523.548440181</v>
      </c>
    </row>
    <row r="39" spans="2:15">
      <c r="B39" t="s">
        <v>13</v>
      </c>
      <c r="C39" s="6"/>
      <c r="D39" s="6">
        <f>D36-(D37+D38)</f>
        <v>58201388.50814192</v>
      </c>
      <c r="E39" s="6">
        <f t="shared" ref="E39:O39" si="6">E36-(E37+E38)</f>
        <v>81481943.911398739</v>
      </c>
      <c r="F39" s="6">
        <f t="shared" si="6"/>
        <v>93122221.613027111</v>
      </c>
      <c r="G39" s="6">
        <f t="shared" si="6"/>
        <v>93122221.613027111</v>
      </c>
      <c r="H39" s="6">
        <f t="shared" si="6"/>
        <v>93122221.613027111</v>
      </c>
      <c r="I39" s="6">
        <f t="shared" si="6"/>
        <v>93122221.613027111</v>
      </c>
      <c r="J39" s="6">
        <f t="shared" si="6"/>
        <v>93122221.613027111</v>
      </c>
      <c r="K39" s="6">
        <f t="shared" si="6"/>
        <v>93122221.613027111</v>
      </c>
      <c r="L39" s="6">
        <f t="shared" si="6"/>
        <v>93122221.613027111</v>
      </c>
      <c r="M39" s="6">
        <f t="shared" si="6"/>
        <v>93122221.613027111</v>
      </c>
      <c r="N39" s="6">
        <f t="shared" si="6"/>
        <v>93122221.613027111</v>
      </c>
      <c r="O39" s="6">
        <f t="shared" si="6"/>
        <v>93122221.613027111</v>
      </c>
    </row>
    <row r="40" spans="2:15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2:15">
      <c r="B41" t="s">
        <v>73</v>
      </c>
      <c r="C41" s="6"/>
      <c r="D41" s="6">
        <f>D63+D75</f>
        <v>56070000.000000007</v>
      </c>
      <c r="E41" s="6">
        <f t="shared" ref="E41:J41" si="7">E63+E75</f>
        <v>56070000.000000007</v>
      </c>
      <c r="F41" s="6">
        <f>F63+F75</f>
        <v>73670000</v>
      </c>
      <c r="G41" s="6">
        <f t="shared" si="7"/>
        <v>62456000</v>
      </c>
      <c r="H41" s="6">
        <f t="shared" si="7"/>
        <v>51242000</v>
      </c>
      <c r="I41" s="6">
        <f t="shared" si="7"/>
        <v>40028000</v>
      </c>
      <c r="J41" s="6">
        <f t="shared" si="7"/>
        <v>28814000</v>
      </c>
      <c r="K41" s="6">
        <f>(C23*I11)</f>
        <v>12320000.000000002</v>
      </c>
      <c r="L41" s="6">
        <f>L63+(C23*I11)</f>
        <v>12320000.000000002</v>
      </c>
      <c r="M41" s="6">
        <f>(C23*I11)</f>
        <v>12320000.000000002</v>
      </c>
      <c r="N41" s="6">
        <f>(C23*I11)</f>
        <v>12320000.000000002</v>
      </c>
      <c r="O41" s="6">
        <f>C23*I11</f>
        <v>12320000.000000002</v>
      </c>
    </row>
    <row r="42" spans="2:15">
      <c r="B42" t="s">
        <v>83</v>
      </c>
      <c r="C42" s="6"/>
      <c r="D42" s="6">
        <f>D39-D41</f>
        <v>2131388.5081419125</v>
      </c>
      <c r="E42" s="6">
        <f>E39-E41</f>
        <v>25411943.911398731</v>
      </c>
      <c r="F42" s="6">
        <f>F39-F41</f>
        <v>19452221.613027111</v>
      </c>
      <c r="G42" s="6">
        <f t="shared" ref="G42:O42" si="8">G39-G41</f>
        <v>30666221.613027111</v>
      </c>
      <c r="H42" s="6">
        <f t="shared" si="8"/>
        <v>41880221.613027111</v>
      </c>
      <c r="I42" s="6">
        <f t="shared" si="8"/>
        <v>53094221.613027111</v>
      </c>
      <c r="J42" s="6">
        <f t="shared" si="8"/>
        <v>64308221.613027111</v>
      </c>
      <c r="K42" s="6">
        <f t="shared" si="8"/>
        <v>80802221.613027111</v>
      </c>
      <c r="L42" s="6">
        <f t="shared" si="8"/>
        <v>80802221.613027111</v>
      </c>
      <c r="M42" s="6">
        <f t="shared" si="8"/>
        <v>80802221.613027111</v>
      </c>
      <c r="N42" s="6">
        <f t="shared" si="8"/>
        <v>80802221.613027111</v>
      </c>
      <c r="O42" s="6">
        <f t="shared" si="8"/>
        <v>80802221.613027111</v>
      </c>
    </row>
    <row r="43" spans="2:15">
      <c r="B43" t="s">
        <v>14</v>
      </c>
      <c r="C43" s="6"/>
      <c r="D43" s="6">
        <f>F10*D42</f>
        <v>745985.97784966929</v>
      </c>
      <c r="E43" s="6">
        <f>F10*E42</f>
        <v>8894180.3689895552</v>
      </c>
      <c r="F43" s="6">
        <f>F10*F42</f>
        <v>6808277.5645594886</v>
      </c>
      <c r="G43" s="6">
        <f>F10*G42</f>
        <v>10733177.564559488</v>
      </c>
      <c r="H43" s="6">
        <f>F10*H42</f>
        <v>14658077.564559488</v>
      </c>
      <c r="I43" s="6">
        <f>F10*I42</f>
        <v>18582977.564559486</v>
      </c>
      <c r="J43" s="6">
        <f>F10*J42</f>
        <v>22507877.564559486</v>
      </c>
      <c r="K43" s="6">
        <f>F10*K42</f>
        <v>28280777.564559486</v>
      </c>
      <c r="L43" s="6">
        <f>F10*L42</f>
        <v>28280777.564559486</v>
      </c>
      <c r="M43" s="6">
        <f>F10*M42</f>
        <v>28280777.564559486</v>
      </c>
      <c r="N43" s="6">
        <f>F10*N42</f>
        <v>28280777.564559486</v>
      </c>
      <c r="O43" s="6">
        <f>F10*O42</f>
        <v>28280777.564559486</v>
      </c>
    </row>
    <row r="44" spans="2:15">
      <c r="B44" t="s">
        <v>15</v>
      </c>
      <c r="C44" s="6"/>
      <c r="D44" s="6">
        <f>D42-D43</f>
        <v>1385402.5302922432</v>
      </c>
      <c r="E44" s="6">
        <f t="shared" ref="E44:O44" si="9">E42-E43</f>
        <v>16517763.542409176</v>
      </c>
      <c r="F44" s="6">
        <f t="shared" si="9"/>
        <v>12643944.048467621</v>
      </c>
      <c r="G44" s="6">
        <f t="shared" si="9"/>
        <v>19933044.048467621</v>
      </c>
      <c r="H44" s="6">
        <f t="shared" si="9"/>
        <v>27222144.048467621</v>
      </c>
      <c r="I44" s="6">
        <f t="shared" si="9"/>
        <v>34511244.048467621</v>
      </c>
      <c r="J44" s="6">
        <f t="shared" si="9"/>
        <v>41800344.048467621</v>
      </c>
      <c r="K44" s="6">
        <f t="shared" si="9"/>
        <v>52521444.048467621</v>
      </c>
      <c r="L44" s="6">
        <f t="shared" si="9"/>
        <v>52521444.048467621</v>
      </c>
      <c r="M44" s="6">
        <f t="shared" si="9"/>
        <v>52521444.048467621</v>
      </c>
      <c r="N44" s="6">
        <f t="shared" si="9"/>
        <v>52521444.048467621</v>
      </c>
      <c r="O44" s="6">
        <f t="shared" si="9"/>
        <v>52521444.048467621</v>
      </c>
    </row>
    <row r="45" spans="2:15">
      <c r="C45" s="6"/>
      <c r="D45" s="6"/>
      <c r="E45" s="6"/>
      <c r="F45" s="6"/>
      <c r="G45" s="6"/>
      <c r="H45" s="6"/>
      <c r="L45" s="8"/>
    </row>
    <row r="46" spans="2:15">
      <c r="B46" t="s">
        <v>16</v>
      </c>
      <c r="C46" s="6"/>
      <c r="D46" s="6">
        <f>D37+D38+D44</f>
        <v>60296246.052415177</v>
      </c>
      <c r="E46" s="6">
        <f t="shared" ref="E46:N46" si="10">E37+E38+E44</f>
        <v>98992944.473381311</v>
      </c>
      <c r="F46" s="6">
        <f t="shared" si="10"/>
        <v>106901293.68386433</v>
      </c>
      <c r="G46" s="6">
        <f t="shared" si="10"/>
        <v>114190393.68386433</v>
      </c>
      <c r="H46" s="6">
        <f t="shared" si="10"/>
        <v>121479493.68386433</v>
      </c>
      <c r="I46" s="6">
        <f t="shared" si="10"/>
        <v>128768593.68386433</v>
      </c>
      <c r="J46" s="6">
        <f t="shared" si="10"/>
        <v>136057693.68386433</v>
      </c>
      <c r="K46" s="6">
        <f t="shared" si="10"/>
        <v>146778793.68386433</v>
      </c>
      <c r="L46" s="6">
        <f t="shared" si="10"/>
        <v>146778793.68386433</v>
      </c>
      <c r="M46" s="6">
        <f t="shared" si="10"/>
        <v>146778793.68386433</v>
      </c>
      <c r="N46" s="6">
        <f t="shared" si="10"/>
        <v>146778793.68386433</v>
      </c>
      <c r="O46" s="6">
        <f>O37+O38+O44+(-O23)</f>
        <v>234778793.68386433</v>
      </c>
    </row>
    <row r="47" spans="2:15">
      <c r="B47" t="s">
        <v>74</v>
      </c>
      <c r="C47" s="6"/>
      <c r="D47" s="6"/>
      <c r="E47" s="6"/>
      <c r="F47" s="6">
        <f>F62</f>
        <v>62500000</v>
      </c>
      <c r="G47" s="6">
        <f t="shared" ref="G47:J47" si="11">G62</f>
        <v>62500000</v>
      </c>
      <c r="H47" s="6">
        <f t="shared" si="11"/>
        <v>62500000</v>
      </c>
      <c r="I47" s="6">
        <f t="shared" si="11"/>
        <v>62500000</v>
      </c>
      <c r="J47" s="6">
        <f t="shared" si="11"/>
        <v>62500000</v>
      </c>
      <c r="K47" s="6"/>
      <c r="L47" s="6"/>
      <c r="M47" s="6"/>
      <c r="N47" s="6"/>
      <c r="O47" s="6"/>
    </row>
    <row r="48" spans="2:15">
      <c r="C48" s="6"/>
      <c r="D48" s="6"/>
      <c r="E48" s="6"/>
      <c r="F48" s="6"/>
      <c r="G48" s="6"/>
      <c r="H48" s="6"/>
      <c r="L48" s="8"/>
    </row>
    <row r="49" spans="1:15">
      <c r="C49" s="6"/>
      <c r="D49" s="6"/>
      <c r="E49" s="6"/>
      <c r="F49" s="6"/>
      <c r="G49" s="6"/>
      <c r="H49" s="6"/>
      <c r="L49" s="8"/>
    </row>
    <row r="50" spans="1:15">
      <c r="B50" t="s">
        <v>18</v>
      </c>
      <c r="C50" s="6">
        <f>-C24+(C25+C27+(C23/2))</f>
        <v>-231500000</v>
      </c>
      <c r="D50" s="6">
        <f>D46-D47</f>
        <v>60296246.052415177</v>
      </c>
      <c r="E50" s="6">
        <f t="shared" ref="E50:O50" si="12">E46-E47</f>
        <v>98992944.473381311</v>
      </c>
      <c r="F50" s="6">
        <f t="shared" si="12"/>
        <v>44401293.683864325</v>
      </c>
      <c r="G50" s="6">
        <f t="shared" si="12"/>
        <v>51690393.683864325</v>
      </c>
      <c r="H50" s="6">
        <f t="shared" si="12"/>
        <v>58979493.683864325</v>
      </c>
      <c r="I50" s="6">
        <f t="shared" si="12"/>
        <v>66268593.683864325</v>
      </c>
      <c r="J50" s="6">
        <f t="shared" si="12"/>
        <v>73557693.683864325</v>
      </c>
      <c r="K50" s="6">
        <f t="shared" si="12"/>
        <v>146778793.68386433</v>
      </c>
      <c r="L50" s="6">
        <f t="shared" si="12"/>
        <v>146778793.68386433</v>
      </c>
      <c r="M50" s="6">
        <f t="shared" si="12"/>
        <v>146778793.68386433</v>
      </c>
      <c r="N50" s="6">
        <f t="shared" si="12"/>
        <v>146778793.68386433</v>
      </c>
      <c r="O50" s="6">
        <f t="shared" si="12"/>
        <v>234778793.68386433</v>
      </c>
    </row>
    <row r="51" spans="1:15">
      <c r="D51" s="18"/>
      <c r="L51" s="8"/>
    </row>
    <row r="52" spans="1:15">
      <c r="D52" s="18"/>
      <c r="L52" s="8"/>
    </row>
    <row r="53" spans="1:15">
      <c r="C53" s="11" t="s">
        <v>1</v>
      </c>
      <c r="D53" s="31">
        <f>NPV(0.15,D50:O50)+C50</f>
        <v>241577520.72920287</v>
      </c>
      <c r="L53" s="8"/>
    </row>
    <row r="54" spans="1:15">
      <c r="C54" s="11" t="s">
        <v>0</v>
      </c>
      <c r="D54" s="32">
        <f>IRR(C50:O50)</f>
        <v>0.31682990714327108</v>
      </c>
      <c r="L54" s="8"/>
    </row>
    <row r="55" spans="1:15">
      <c r="D55" s="18"/>
      <c r="L55" s="8"/>
    </row>
    <row r="58" spans="1:15">
      <c r="A58" s="9"/>
      <c r="B58" s="39" t="s">
        <v>84</v>
      </c>
      <c r="C58" s="6">
        <f>C27</f>
        <v>312500000</v>
      </c>
      <c r="D58" s="35"/>
      <c r="E58" s="35"/>
    </row>
    <row r="59" spans="1:15">
      <c r="B59" s="35" t="s">
        <v>75</v>
      </c>
      <c r="C59" s="35">
        <f>I11</f>
        <v>0.14000000000000001</v>
      </c>
      <c r="D59" s="35"/>
    </row>
    <row r="60" spans="1:15">
      <c r="B60" s="35" t="s">
        <v>77</v>
      </c>
      <c r="C60" s="36">
        <v>0</v>
      </c>
      <c r="D60" s="36">
        <v>1</v>
      </c>
      <c r="E60" s="36">
        <v>2</v>
      </c>
      <c r="F60" s="36">
        <v>3</v>
      </c>
      <c r="G60" s="36">
        <v>4</v>
      </c>
      <c r="H60" s="36">
        <v>5</v>
      </c>
      <c r="I60" s="36">
        <v>6</v>
      </c>
      <c r="J60" s="36">
        <v>7</v>
      </c>
      <c r="K60" s="35" t="s">
        <v>80</v>
      </c>
    </row>
    <row r="61" spans="1:15">
      <c r="B61" s="35" t="s">
        <v>79</v>
      </c>
      <c r="C61" s="17">
        <f>C58</f>
        <v>312500000</v>
      </c>
      <c r="D61" s="17">
        <f>C58</f>
        <v>312500000</v>
      </c>
      <c r="E61" s="17">
        <f>C58</f>
        <v>312500000</v>
      </c>
      <c r="F61" s="17">
        <f>E61-F62</f>
        <v>250000000</v>
      </c>
      <c r="G61" s="17">
        <f>F61-G62</f>
        <v>187500000</v>
      </c>
      <c r="H61" s="17">
        <f t="shared" ref="H61:J61" si="13">G61-H62</f>
        <v>125000000</v>
      </c>
      <c r="I61" s="17">
        <f t="shared" si="13"/>
        <v>62500000</v>
      </c>
      <c r="J61" s="17">
        <f t="shared" si="13"/>
        <v>0</v>
      </c>
      <c r="K61" s="35"/>
    </row>
    <row r="62" spans="1:15">
      <c r="B62" s="35" t="s">
        <v>82</v>
      </c>
      <c r="C62" s="17" t="s">
        <v>76</v>
      </c>
      <c r="D62" s="17" t="s">
        <v>76</v>
      </c>
      <c r="E62" s="17" t="s">
        <v>76</v>
      </c>
      <c r="F62" s="17">
        <f t="shared" ref="F62" si="14">C58/5</f>
        <v>62500000</v>
      </c>
      <c r="G62" s="17">
        <f t="shared" ref="G62:J62" si="15">F62</f>
        <v>62500000</v>
      </c>
      <c r="H62" s="17">
        <f t="shared" si="15"/>
        <v>62500000</v>
      </c>
      <c r="I62" s="17">
        <f t="shared" si="15"/>
        <v>62500000</v>
      </c>
      <c r="J62" s="17">
        <f t="shared" si="15"/>
        <v>62500000</v>
      </c>
      <c r="K62" s="37">
        <f>SUM(F62:J62)</f>
        <v>312500000</v>
      </c>
      <c r="M62" s="11" t="s">
        <v>1</v>
      </c>
      <c r="N62" s="31">
        <f>NPV(0.14,D64:J64)+C64</f>
        <v>0</v>
      </c>
    </row>
    <row r="63" spans="1:15">
      <c r="B63" s="35" t="s">
        <v>78</v>
      </c>
      <c r="C63" s="6"/>
      <c r="D63" s="17">
        <f>C58*C59</f>
        <v>43750000.000000007</v>
      </c>
      <c r="E63" s="17">
        <f>C58*C59</f>
        <v>43750000.000000007</v>
      </c>
      <c r="F63" s="17">
        <f>E61*C59</f>
        <v>43750000.000000007</v>
      </c>
      <c r="G63" s="17">
        <f>F61*C59</f>
        <v>35000000</v>
      </c>
      <c r="H63" s="17">
        <f>G61*C59</f>
        <v>26250000.000000004</v>
      </c>
      <c r="I63" s="17">
        <f>H61*C59</f>
        <v>17500000</v>
      </c>
      <c r="J63" s="17">
        <f>I61*C59</f>
        <v>8750000</v>
      </c>
      <c r="K63" s="37">
        <f>SUM(D63:J63)</f>
        <v>218750000.00000003</v>
      </c>
      <c r="M63" s="11" t="s">
        <v>0</v>
      </c>
      <c r="N63" s="32">
        <f>IRR(C64:J64)</f>
        <v>0.13999999999999996</v>
      </c>
    </row>
    <row r="64" spans="1:15">
      <c r="B64" s="35" t="s">
        <v>81</v>
      </c>
      <c r="C64" s="40">
        <f>-C27</f>
        <v>-312500000</v>
      </c>
      <c r="D64" s="17">
        <f t="shared" ref="D64:E64" si="16">SUM(D62:D63)</f>
        <v>43750000.000000007</v>
      </c>
      <c r="E64" s="17">
        <f t="shared" si="16"/>
        <v>43750000.000000007</v>
      </c>
      <c r="F64" s="17">
        <f>SUM(F62:F63)</f>
        <v>106250000</v>
      </c>
      <c r="G64" s="17">
        <f t="shared" ref="G64:J64" si="17">SUM(G62:G63)</f>
        <v>97500000</v>
      </c>
      <c r="H64" s="17">
        <f t="shared" si="17"/>
        <v>88750000</v>
      </c>
      <c r="I64" s="17">
        <f t="shared" si="17"/>
        <v>80000000</v>
      </c>
      <c r="J64" s="17">
        <f t="shared" si="17"/>
        <v>71250000</v>
      </c>
      <c r="K64" s="37">
        <f>SUM(D64:J64)</f>
        <v>531250000</v>
      </c>
    </row>
    <row r="65" spans="2:14">
      <c r="B65" s="35"/>
      <c r="C65" s="6"/>
      <c r="D65" s="17"/>
      <c r="E65" s="17"/>
      <c r="F65" s="17"/>
      <c r="G65" s="17"/>
      <c r="H65" s="17"/>
      <c r="I65" s="17"/>
      <c r="J65" s="17"/>
    </row>
    <row r="66" spans="2:14">
      <c r="B66" s="35"/>
      <c r="C66" s="6"/>
      <c r="D66" s="6"/>
      <c r="E66" s="6"/>
      <c r="F66" s="6"/>
      <c r="G66" s="6"/>
      <c r="H66" s="6"/>
      <c r="I66" s="6"/>
      <c r="J66" s="6"/>
    </row>
    <row r="67" spans="2:14">
      <c r="B67" s="35"/>
      <c r="C67" s="6"/>
      <c r="D67" s="6"/>
      <c r="E67" s="6"/>
      <c r="F67" s="6"/>
      <c r="G67" s="6"/>
      <c r="H67" s="6"/>
      <c r="I67" s="6"/>
      <c r="J67" s="6"/>
    </row>
    <row r="68" spans="2:14">
      <c r="B68" s="35"/>
      <c r="C68" s="6"/>
      <c r="D68" s="6"/>
      <c r="E68" s="6"/>
      <c r="F68" s="6"/>
      <c r="G68" s="6"/>
      <c r="H68" s="6"/>
      <c r="I68" s="6"/>
      <c r="J68" s="6"/>
    </row>
    <row r="69" spans="2:14">
      <c r="B69" s="38" t="s">
        <v>85</v>
      </c>
      <c r="C69" s="6">
        <f>C23</f>
        <v>88000000</v>
      </c>
      <c r="D69" s="35"/>
      <c r="E69" s="35"/>
    </row>
    <row r="70" spans="2:14">
      <c r="B70" s="35" t="s">
        <v>75</v>
      </c>
      <c r="C70" s="35">
        <f>I11</f>
        <v>0.14000000000000001</v>
      </c>
      <c r="D70" s="35"/>
    </row>
    <row r="71" spans="2:14">
      <c r="B71" s="35" t="s">
        <v>77</v>
      </c>
      <c r="C71" s="36">
        <v>0</v>
      </c>
      <c r="D71" s="36">
        <v>1</v>
      </c>
      <c r="E71" s="36">
        <v>2</v>
      </c>
      <c r="F71" s="36">
        <v>3</v>
      </c>
      <c r="G71" s="36">
        <v>4</v>
      </c>
      <c r="H71" s="36">
        <v>5</v>
      </c>
      <c r="I71" s="36">
        <v>6</v>
      </c>
      <c r="J71" s="36">
        <v>7</v>
      </c>
      <c r="K71" s="35" t="s">
        <v>80</v>
      </c>
    </row>
    <row r="72" spans="2:14">
      <c r="B72" s="35" t="s">
        <v>79</v>
      </c>
      <c r="C72" s="17">
        <f>C69</f>
        <v>88000000</v>
      </c>
      <c r="D72" s="17">
        <f>C69</f>
        <v>88000000</v>
      </c>
      <c r="E72" s="17">
        <f>C69</f>
        <v>88000000</v>
      </c>
      <c r="F72" s="17">
        <f>E72-F73</f>
        <v>70400000</v>
      </c>
      <c r="G72" s="17">
        <f>F72-G73</f>
        <v>52800000</v>
      </c>
      <c r="H72" s="17">
        <f t="shared" ref="H72" si="18">G72-H73</f>
        <v>35200000</v>
      </c>
      <c r="I72" s="17">
        <f t="shared" ref="I72" si="19">H72-I73</f>
        <v>17600000</v>
      </c>
      <c r="J72" s="17">
        <f t="shared" ref="J72" si="20">I72-J73</f>
        <v>0</v>
      </c>
      <c r="K72" s="35"/>
    </row>
    <row r="73" spans="2:14">
      <c r="B73" s="35" t="s">
        <v>82</v>
      </c>
      <c r="C73" s="17" t="s">
        <v>76</v>
      </c>
      <c r="D73" s="17" t="s">
        <v>76</v>
      </c>
      <c r="E73" s="17" t="s">
        <v>76</v>
      </c>
      <c r="F73" s="17">
        <f t="shared" ref="F73" si="21">C69/5</f>
        <v>17600000</v>
      </c>
      <c r="G73" s="17">
        <f t="shared" ref="G73:J73" si="22">F73</f>
        <v>17600000</v>
      </c>
      <c r="H73" s="17">
        <f t="shared" si="22"/>
        <v>17600000</v>
      </c>
      <c r="I73" s="17">
        <f t="shared" si="22"/>
        <v>17600000</v>
      </c>
      <c r="J73" s="17">
        <f t="shared" si="22"/>
        <v>17600000</v>
      </c>
      <c r="K73" s="37">
        <f>SUM(F73:J73)</f>
        <v>88000000</v>
      </c>
      <c r="M73" s="11" t="s">
        <v>1</v>
      </c>
      <c r="N73" s="31">
        <f>NPV(0.14,D75:J75)+C75</f>
        <v>0</v>
      </c>
    </row>
    <row r="74" spans="2:14">
      <c r="B74" s="35" t="s">
        <v>78</v>
      </c>
      <c r="C74" s="6"/>
      <c r="D74" s="17">
        <f>C72*C70</f>
        <v>12320000.000000002</v>
      </c>
      <c r="E74" s="17">
        <f>D72*C70</f>
        <v>12320000.000000002</v>
      </c>
      <c r="F74" s="17">
        <f>E72*C70</f>
        <v>12320000.000000002</v>
      </c>
      <c r="G74" s="17">
        <f>F72*C70</f>
        <v>9856000.0000000019</v>
      </c>
      <c r="H74" s="17">
        <f>G72*C70</f>
        <v>7392000.0000000009</v>
      </c>
      <c r="I74" s="17">
        <f>H72*C70</f>
        <v>4928000.0000000009</v>
      </c>
      <c r="J74" s="17">
        <f>I72*C70</f>
        <v>2464000.0000000005</v>
      </c>
      <c r="K74" s="37">
        <f>SUM(D74:J74)</f>
        <v>61600000.000000007</v>
      </c>
      <c r="M74" s="11" t="s">
        <v>0</v>
      </c>
      <c r="N74" s="32">
        <f>IRR(C75:J75)</f>
        <v>0.13999999999999993</v>
      </c>
    </row>
    <row r="75" spans="2:14">
      <c r="B75" s="35" t="s">
        <v>81</v>
      </c>
      <c r="C75" s="40">
        <f>-C72</f>
        <v>-88000000</v>
      </c>
      <c r="D75" s="17">
        <f t="shared" ref="D75" si="23">SUM(D73:D74)</f>
        <v>12320000.000000002</v>
      </c>
      <c r="E75" s="17">
        <f t="shared" ref="E75" si="24">SUM(E73:E74)</f>
        <v>12320000.000000002</v>
      </c>
      <c r="F75" s="17">
        <f>SUM(F73:F74)</f>
        <v>29920000</v>
      </c>
      <c r="G75" s="17">
        <f t="shared" ref="G75" si="25">SUM(G73:G74)</f>
        <v>27456000</v>
      </c>
      <c r="H75" s="17">
        <f t="shared" ref="H75" si="26">SUM(H73:H74)</f>
        <v>24992000</v>
      </c>
      <c r="I75" s="17">
        <f t="shared" ref="I75" si="27">SUM(I73:I74)</f>
        <v>22528000</v>
      </c>
      <c r="J75" s="17">
        <f t="shared" ref="J75" si="28">SUM(J73:J74)</f>
        <v>20064000</v>
      </c>
      <c r="K75" s="37">
        <f>SUM(D75:J75)</f>
        <v>149600000</v>
      </c>
    </row>
    <row r="76" spans="2:14">
      <c r="B76" s="35"/>
      <c r="C76" s="6"/>
      <c r="D76" s="17"/>
      <c r="E76" s="17"/>
      <c r="F76" s="17"/>
      <c r="G76" s="17"/>
      <c r="H76" s="17"/>
      <c r="I76" s="17"/>
      <c r="J76" s="17"/>
    </row>
    <row r="77" spans="2:14">
      <c r="B77" s="35"/>
      <c r="C77" s="6"/>
      <c r="D77" s="6"/>
      <c r="E77" s="6"/>
      <c r="F77" s="6"/>
      <c r="G77" s="6"/>
      <c r="H77" s="6"/>
      <c r="I77" s="6"/>
      <c r="J77" s="6"/>
    </row>
  </sheetData>
  <pageMargins left="0.7" right="0.7" top="0.75" bottom="0.75" header="0.3" footer="0.3"/>
  <pageSetup paperSize="9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78"/>
  <sheetViews>
    <sheetView zoomScale="60" zoomScaleNormal="60" workbookViewId="0">
      <selection activeCell="L68" sqref="A1:L68"/>
    </sheetView>
  </sheetViews>
  <sheetFormatPr baseColWidth="10" defaultRowHeight="15"/>
  <cols>
    <col min="2" max="2" width="34.7109375" customWidth="1"/>
    <col min="3" max="3" width="15.5703125" customWidth="1"/>
    <col min="4" max="4" width="19.85546875" customWidth="1"/>
    <col min="5" max="5" width="22" customWidth="1"/>
    <col min="6" max="6" width="21.7109375" customWidth="1"/>
    <col min="7" max="7" width="20.7109375" customWidth="1"/>
    <col min="8" max="8" width="20.85546875" customWidth="1"/>
    <col min="9" max="9" width="15.140625" customWidth="1"/>
    <col min="10" max="10" width="17.42578125" customWidth="1"/>
    <col min="11" max="11" width="15.85546875" customWidth="1"/>
    <col min="12" max="12" width="17.28515625" customWidth="1"/>
    <col min="13" max="13" width="17" customWidth="1"/>
    <col min="14" max="14" width="15.7109375" customWidth="1"/>
    <col min="15" max="15" width="15.42578125" customWidth="1"/>
  </cols>
  <sheetData>
    <row r="1" spans="2:15">
      <c r="B1" s="9" t="s">
        <v>112</v>
      </c>
      <c r="C1" s="9"/>
      <c r="D1" s="18"/>
      <c r="E1" s="41"/>
      <c r="F1" s="41"/>
      <c r="G1" s="41"/>
      <c r="H1" s="41"/>
      <c r="I1" s="41"/>
      <c r="J1" s="41"/>
    </row>
    <row r="2" spans="2:15">
      <c r="B2" s="35"/>
      <c r="D2" s="18"/>
    </row>
    <row r="3" spans="2:15">
      <c r="B3" t="s">
        <v>60</v>
      </c>
      <c r="C3" s="23">
        <v>1</v>
      </c>
      <c r="D3" s="18"/>
    </row>
    <row r="4" spans="2:15">
      <c r="B4" t="s">
        <v>86</v>
      </c>
      <c r="C4" s="23">
        <v>5</v>
      </c>
      <c r="D4" s="18"/>
    </row>
    <row r="5" spans="2:15">
      <c r="B5" t="s">
        <v>46</v>
      </c>
      <c r="C5" s="23">
        <v>1.5</v>
      </c>
      <c r="D5" s="18"/>
      <c r="E5" t="s">
        <v>49</v>
      </c>
      <c r="F5" s="23">
        <v>1.2</v>
      </c>
      <c r="H5" t="s">
        <v>62</v>
      </c>
      <c r="I5" s="42"/>
      <c r="L5" s="8"/>
    </row>
    <row r="6" spans="2:15">
      <c r="D6" s="22"/>
      <c r="E6" t="s">
        <v>91</v>
      </c>
      <c r="F6" s="23">
        <v>1.25</v>
      </c>
      <c r="G6" s="22"/>
      <c r="H6" s="29" t="s">
        <v>63</v>
      </c>
      <c r="I6" s="42"/>
      <c r="J6" s="22"/>
      <c r="K6" s="22"/>
      <c r="L6" s="22"/>
      <c r="M6" s="22"/>
      <c r="N6" s="22"/>
      <c r="O6" s="22"/>
    </row>
    <row r="7" spans="2:15">
      <c r="B7" t="s">
        <v>43</v>
      </c>
      <c r="C7" s="22">
        <v>1230</v>
      </c>
      <c r="D7" s="23"/>
      <c r="E7" t="s">
        <v>92</v>
      </c>
      <c r="F7" s="23">
        <v>2</v>
      </c>
      <c r="G7" s="23"/>
      <c r="H7" s="28" t="s">
        <v>64</v>
      </c>
      <c r="I7" s="42">
        <f>C3/C4</f>
        <v>0.2</v>
      </c>
      <c r="J7" s="23"/>
      <c r="K7" s="23"/>
      <c r="L7" s="23"/>
      <c r="M7" s="23"/>
      <c r="N7" s="23"/>
      <c r="O7" s="23"/>
    </row>
    <row r="8" spans="2:15">
      <c r="B8" t="s">
        <v>44</v>
      </c>
      <c r="C8" s="23">
        <v>0.67</v>
      </c>
      <c r="D8" s="23"/>
      <c r="E8" t="s">
        <v>93</v>
      </c>
      <c r="F8" s="23">
        <v>4.25</v>
      </c>
      <c r="G8" s="23"/>
      <c r="H8" s="23"/>
      <c r="I8" s="43"/>
      <c r="J8" s="23"/>
      <c r="K8" s="23"/>
      <c r="L8" s="23"/>
      <c r="M8" s="23"/>
      <c r="N8" s="23"/>
      <c r="O8" s="23"/>
    </row>
    <row r="9" spans="2:15">
      <c r="B9" t="s">
        <v>45</v>
      </c>
      <c r="C9" s="23">
        <v>0.6</v>
      </c>
      <c r="D9" s="23"/>
      <c r="E9" t="s">
        <v>94</v>
      </c>
      <c r="F9" s="23">
        <v>2.5</v>
      </c>
      <c r="G9" s="23"/>
      <c r="H9" s="28" t="s">
        <v>72</v>
      </c>
      <c r="I9" s="43">
        <v>0.2</v>
      </c>
      <c r="J9" s="23"/>
      <c r="K9" s="23"/>
      <c r="L9" s="23"/>
      <c r="M9" s="23"/>
      <c r="N9" s="23"/>
      <c r="O9" s="23"/>
    </row>
    <row r="10" spans="2:15">
      <c r="B10" t="s">
        <v>47</v>
      </c>
      <c r="C10" s="23"/>
      <c r="D10" s="23"/>
      <c r="E10" t="s">
        <v>61</v>
      </c>
      <c r="F10" s="23">
        <v>0.35</v>
      </c>
      <c r="G10" s="23"/>
      <c r="H10" s="28" t="s">
        <v>6</v>
      </c>
      <c r="I10" s="43">
        <v>0.3</v>
      </c>
      <c r="J10" s="23"/>
      <c r="K10" s="23"/>
      <c r="L10" s="23"/>
      <c r="M10" s="23"/>
      <c r="N10" s="23"/>
      <c r="O10" s="23"/>
    </row>
    <row r="11" spans="2:15">
      <c r="B11" t="s">
        <v>48</v>
      </c>
      <c r="C11" s="23">
        <v>190</v>
      </c>
      <c r="D11" s="23"/>
      <c r="E11" t="s">
        <v>2</v>
      </c>
      <c r="F11" s="24">
        <v>5370000</v>
      </c>
      <c r="G11" s="23"/>
      <c r="H11" s="28" t="s">
        <v>75</v>
      </c>
      <c r="I11" s="43">
        <v>0.14000000000000001</v>
      </c>
      <c r="J11" s="23"/>
      <c r="K11" s="23"/>
      <c r="L11" s="23"/>
      <c r="M11" s="23"/>
      <c r="N11" s="23"/>
      <c r="O11" s="23"/>
    </row>
    <row r="12" spans="2:15">
      <c r="B12" t="s">
        <v>87</v>
      </c>
      <c r="C12" s="5">
        <f>C7*(10/7.93)</f>
        <v>1551.0718789407315</v>
      </c>
      <c r="D12" s="23"/>
      <c r="E12" s="28" t="s">
        <v>3</v>
      </c>
      <c r="F12" s="24">
        <v>80000</v>
      </c>
      <c r="G12" s="23"/>
      <c r="H12" s="28" t="s">
        <v>106</v>
      </c>
      <c r="I12" s="24">
        <v>3000000</v>
      </c>
      <c r="J12" s="23"/>
      <c r="K12" s="23"/>
      <c r="L12" s="23"/>
      <c r="M12" s="23"/>
      <c r="N12" s="23"/>
      <c r="O12" s="23"/>
    </row>
    <row r="13" spans="2:15">
      <c r="B13" t="s">
        <v>89</v>
      </c>
      <c r="C13" s="5">
        <f>C12*(C9/C8)</f>
        <v>1389.019593081252</v>
      </c>
      <c r="D13" s="23"/>
      <c r="E13" s="28" t="s">
        <v>11</v>
      </c>
      <c r="F13" s="24">
        <v>1255000</v>
      </c>
      <c r="G13" s="23"/>
      <c r="H13" s="28" t="s">
        <v>107</v>
      </c>
      <c r="I13" s="43">
        <v>0.05</v>
      </c>
      <c r="J13" s="23"/>
      <c r="K13" s="23"/>
      <c r="L13" s="23"/>
      <c r="M13" s="23"/>
      <c r="N13" s="23"/>
      <c r="O13" s="23"/>
    </row>
    <row r="14" spans="2:15">
      <c r="B14" t="s">
        <v>88</v>
      </c>
      <c r="C14" s="5">
        <f>C13*D21</f>
        <v>277.80391861625043</v>
      </c>
      <c r="D14" s="23"/>
      <c r="E14" s="28" t="s">
        <v>12</v>
      </c>
      <c r="F14" s="24">
        <v>100000</v>
      </c>
      <c r="G14" s="23"/>
      <c r="H14" s="28" t="s">
        <v>108</v>
      </c>
      <c r="I14" s="24">
        <v>1000000</v>
      </c>
      <c r="J14" s="23"/>
      <c r="K14" s="23"/>
      <c r="L14" s="23"/>
      <c r="M14" s="23"/>
      <c r="N14" s="23"/>
      <c r="O14" s="23"/>
    </row>
    <row r="15" spans="2:15">
      <c r="B15" t="s">
        <v>90</v>
      </c>
      <c r="C15" s="5"/>
      <c r="D15" s="23"/>
      <c r="E15" s="28" t="s">
        <v>109</v>
      </c>
      <c r="F15" s="23">
        <v>7</v>
      </c>
      <c r="G15" s="23"/>
      <c r="H15" s="23"/>
      <c r="I15" s="23"/>
      <c r="J15" s="23"/>
      <c r="K15" s="23"/>
      <c r="L15" s="23"/>
      <c r="M15" s="23"/>
      <c r="N15" s="23"/>
      <c r="O15" s="23"/>
    </row>
    <row r="16" spans="2:15">
      <c r="C16" s="23"/>
      <c r="D16" s="23"/>
      <c r="E16" s="28" t="s">
        <v>111</v>
      </c>
      <c r="F16" s="23">
        <v>0.25</v>
      </c>
      <c r="G16" s="23"/>
      <c r="H16" s="23"/>
      <c r="I16" s="23"/>
      <c r="J16" s="23"/>
      <c r="K16" s="23"/>
      <c r="L16" s="23"/>
      <c r="M16" s="23"/>
      <c r="N16" s="23"/>
      <c r="O16" s="23"/>
    </row>
    <row r="17" spans="1:15">
      <c r="D17" s="18"/>
      <c r="L17" s="8"/>
    </row>
    <row r="18" spans="1:15">
      <c r="B18" s="20" t="s">
        <v>67</v>
      </c>
      <c r="D18" s="18"/>
    </row>
    <row r="19" spans="1:15">
      <c r="A19" s="33"/>
      <c r="B19" s="16" t="s">
        <v>35</v>
      </c>
      <c r="C19" s="7">
        <v>0</v>
      </c>
      <c r="D19" s="7">
        <v>1</v>
      </c>
      <c r="E19" s="7">
        <v>2</v>
      </c>
      <c r="F19" s="7">
        <v>3</v>
      </c>
      <c r="G19" s="7">
        <v>4</v>
      </c>
      <c r="H19" s="7">
        <v>5</v>
      </c>
      <c r="I19" s="7"/>
      <c r="J19" s="7"/>
      <c r="K19" s="7"/>
      <c r="L19" s="7"/>
      <c r="M19" s="7"/>
      <c r="N19" s="7"/>
      <c r="O19" s="7"/>
    </row>
    <row r="20" spans="1:15">
      <c r="A20" s="14"/>
      <c r="C20" s="7"/>
      <c r="D20" s="44">
        <v>2009</v>
      </c>
      <c r="E20" s="44">
        <v>2010</v>
      </c>
      <c r="F20" s="44">
        <v>2011</v>
      </c>
      <c r="G20" s="44">
        <v>2012</v>
      </c>
      <c r="H20" s="44">
        <v>2013</v>
      </c>
      <c r="L20" s="8"/>
    </row>
    <row r="21" spans="1:15">
      <c r="A21" s="14"/>
      <c r="B21" t="s">
        <v>36</v>
      </c>
      <c r="C21" s="7"/>
      <c r="D21" s="19">
        <f>I7</f>
        <v>0.2</v>
      </c>
      <c r="E21" s="19">
        <f t="shared" ref="E21:H21" si="0">D21</f>
        <v>0.2</v>
      </c>
      <c r="F21" s="19">
        <f t="shared" si="0"/>
        <v>0.2</v>
      </c>
      <c r="G21" s="19">
        <f t="shared" si="0"/>
        <v>0.2</v>
      </c>
      <c r="H21" s="19">
        <f t="shared" si="0"/>
        <v>0.2</v>
      </c>
      <c r="I21" s="19"/>
      <c r="J21" s="19"/>
      <c r="K21" s="19"/>
      <c r="L21" s="19"/>
      <c r="M21" s="19"/>
      <c r="N21" s="19"/>
      <c r="O21" s="19"/>
    </row>
    <row r="22" spans="1:15">
      <c r="A22" s="14"/>
      <c r="B22" t="s">
        <v>50</v>
      </c>
      <c r="C22" s="7"/>
      <c r="D22" s="19">
        <f>D21*D23</f>
        <v>0.30000000000000004</v>
      </c>
      <c r="E22" s="19">
        <f>E21*C5</f>
        <v>0.30000000000000004</v>
      </c>
      <c r="F22" s="19">
        <f>F21*C5</f>
        <v>0.30000000000000004</v>
      </c>
      <c r="G22" s="19">
        <f>C5*G21</f>
        <v>0.30000000000000004</v>
      </c>
      <c r="H22" s="19">
        <f>C5*H21</f>
        <v>0.30000000000000004</v>
      </c>
      <c r="I22" s="19"/>
      <c r="J22" s="19"/>
      <c r="K22" s="19"/>
      <c r="L22" s="19"/>
      <c r="M22" s="19"/>
      <c r="N22" s="19"/>
      <c r="O22" s="19"/>
    </row>
    <row r="23" spans="1:15">
      <c r="A23" s="14"/>
      <c r="B23" t="s">
        <v>51</v>
      </c>
      <c r="C23" s="7"/>
      <c r="D23" s="19">
        <f>C5</f>
        <v>1.5</v>
      </c>
      <c r="E23" s="19">
        <f t="shared" ref="E23:H23" si="1">D23</f>
        <v>1.5</v>
      </c>
      <c r="F23" s="19">
        <f t="shared" si="1"/>
        <v>1.5</v>
      </c>
      <c r="G23" s="19">
        <f t="shared" si="1"/>
        <v>1.5</v>
      </c>
      <c r="H23" s="19">
        <f t="shared" si="1"/>
        <v>1.5</v>
      </c>
      <c r="I23" s="19"/>
      <c r="J23" s="19"/>
      <c r="K23" s="19"/>
      <c r="L23" s="19"/>
      <c r="M23" s="19"/>
      <c r="N23" s="19"/>
      <c r="O23" s="19"/>
    </row>
    <row r="24" spans="1:15">
      <c r="A24" s="15"/>
      <c r="C24" s="6"/>
      <c r="D24" s="19"/>
      <c r="E24" s="19"/>
      <c r="F24" s="19"/>
      <c r="G24" s="6"/>
      <c r="H24" s="6"/>
    </row>
    <row r="25" spans="1:15">
      <c r="B25" t="s">
        <v>53</v>
      </c>
      <c r="C25" s="26">
        <f>F11</f>
        <v>5370000</v>
      </c>
      <c r="D25" s="17"/>
      <c r="E25" s="17"/>
      <c r="F25" s="17"/>
      <c r="G25" s="6"/>
      <c r="H25" s="6"/>
      <c r="L25" s="8"/>
    </row>
    <row r="26" spans="1:15">
      <c r="B26" t="s">
        <v>54</v>
      </c>
      <c r="C26" s="6">
        <f>F12</f>
        <v>80000</v>
      </c>
      <c r="D26" s="17"/>
      <c r="E26" s="17"/>
      <c r="F26" s="17"/>
      <c r="G26" s="6"/>
      <c r="H26" s="6"/>
      <c r="L26" s="8"/>
      <c r="O26" s="6"/>
    </row>
    <row r="27" spans="1:15">
      <c r="B27" t="s">
        <v>52</v>
      </c>
      <c r="C27" s="6">
        <f>C25+C26</f>
        <v>5450000</v>
      </c>
      <c r="D27" s="17"/>
      <c r="E27" s="17"/>
      <c r="F27" s="17"/>
      <c r="G27" s="6"/>
      <c r="H27" s="6"/>
      <c r="L27" s="8"/>
      <c r="O27" s="6"/>
    </row>
    <row r="28" spans="1:15">
      <c r="C28" s="6"/>
      <c r="D28" s="17"/>
      <c r="E28" s="17"/>
      <c r="F28" s="17"/>
      <c r="G28" s="6"/>
      <c r="H28" s="6"/>
      <c r="L28" s="8"/>
      <c r="O28" s="6"/>
    </row>
    <row r="29" spans="1:15">
      <c r="B29" t="s">
        <v>69</v>
      </c>
      <c r="C29" s="6"/>
      <c r="D29" s="17"/>
      <c r="E29" s="17"/>
      <c r="F29" s="17"/>
      <c r="G29" s="6"/>
      <c r="H29" s="6"/>
      <c r="L29" s="8"/>
      <c r="O29" s="6"/>
    </row>
    <row r="30" spans="1:15">
      <c r="B30" t="s">
        <v>71</v>
      </c>
      <c r="C30" s="6"/>
      <c r="D30" s="17"/>
      <c r="E30" s="17"/>
      <c r="F30" s="17"/>
      <c r="G30" s="6"/>
      <c r="H30" s="6"/>
      <c r="L30" s="8"/>
      <c r="O30" s="6"/>
    </row>
    <row r="31" spans="1:15">
      <c r="B31" t="s">
        <v>68</v>
      </c>
      <c r="C31" s="6"/>
      <c r="D31" s="17"/>
      <c r="E31" s="17"/>
      <c r="F31" s="17"/>
      <c r="G31" s="6"/>
      <c r="H31" s="6"/>
      <c r="L31" s="8"/>
      <c r="O31" s="6"/>
    </row>
    <row r="32" spans="1:15">
      <c r="A32" t="s">
        <v>70</v>
      </c>
      <c r="C32" s="6"/>
      <c r="D32" s="17"/>
      <c r="E32" s="17"/>
      <c r="F32" s="17"/>
      <c r="G32" s="6"/>
      <c r="H32" s="6"/>
      <c r="L32" s="8"/>
    </row>
    <row r="33" spans="1:15">
      <c r="A33" s="5"/>
      <c r="B33" s="5" t="s">
        <v>37</v>
      </c>
      <c r="C33" s="5"/>
      <c r="D33" s="21">
        <f>C12*(C9/C8)*D21</f>
        <v>277.80391861625043</v>
      </c>
      <c r="E33" s="21">
        <f>(E21*1000000)*C9*(C7*(10/7.93))*(1/1000000)*(1/C8)</f>
        <v>277.80391861625037</v>
      </c>
      <c r="F33" s="21">
        <f>(F21*1000000)*C9*(C7*(10/7.93))*(1/1000000)*(1/C8)</f>
        <v>277.80391861625037</v>
      </c>
      <c r="G33" s="5">
        <f>(G21*1000000)*C9*(C7*(10/7.93))*(1/1000000)*(1/C8)</f>
        <v>277.80391861625037</v>
      </c>
      <c r="H33" s="5">
        <f>(H21*1000000)*C9*(C7*(10/7.93))*(1/1000000)*(1/C8)</f>
        <v>277.80391861625037</v>
      </c>
      <c r="I33" s="5"/>
      <c r="J33" s="5"/>
      <c r="K33" s="5"/>
      <c r="L33" s="5"/>
      <c r="M33" s="5"/>
      <c r="N33" s="5"/>
      <c r="O33" s="5"/>
    </row>
    <row r="34" spans="1:15">
      <c r="B34" t="s">
        <v>38</v>
      </c>
      <c r="C34" s="6"/>
      <c r="D34" s="45">
        <f>C11*F5*(C8*100)</f>
        <v>15276</v>
      </c>
      <c r="E34" s="6">
        <f>D34</f>
        <v>15276</v>
      </c>
      <c r="F34" s="6">
        <f>D34</f>
        <v>15276</v>
      </c>
      <c r="G34" s="6">
        <f>D34</f>
        <v>15276</v>
      </c>
      <c r="H34" s="6">
        <f>D34</f>
        <v>15276</v>
      </c>
      <c r="I34" s="6"/>
      <c r="J34" s="6"/>
      <c r="K34" s="6"/>
      <c r="L34" s="8"/>
      <c r="M34" s="6"/>
      <c r="N34" s="6"/>
      <c r="O34" s="6"/>
    </row>
    <row r="35" spans="1:15">
      <c r="B35" t="s">
        <v>19</v>
      </c>
      <c r="C35" s="6"/>
      <c r="D35" s="45">
        <f>D33*D34</f>
        <v>4243732.6607818417</v>
      </c>
      <c r="E35" s="6">
        <f t="shared" ref="E35:H35" si="2">E33*E34</f>
        <v>4243732.6607818408</v>
      </c>
      <c r="F35" s="6">
        <f t="shared" si="2"/>
        <v>4243732.6607818408</v>
      </c>
      <c r="G35" s="6">
        <f t="shared" si="2"/>
        <v>4243732.6607818408</v>
      </c>
      <c r="H35" s="6">
        <f t="shared" si="2"/>
        <v>4243732.6607818408</v>
      </c>
      <c r="I35" s="6"/>
      <c r="J35" s="6"/>
      <c r="K35" s="6"/>
      <c r="L35" s="6"/>
      <c r="M35" s="6"/>
      <c r="N35" s="6"/>
      <c r="O35" s="6"/>
    </row>
    <row r="36" spans="1:15">
      <c r="B36" t="s">
        <v>95</v>
      </c>
      <c r="C36" s="6"/>
      <c r="D36" s="45">
        <f>F6*(D22*1000000)</f>
        <v>375000.00000000006</v>
      </c>
      <c r="E36" s="6">
        <f t="shared" ref="E36" si="3">F6*(E22*1000000)</f>
        <v>375000.00000000006</v>
      </c>
      <c r="F36" s="6">
        <f>F6*(F22*1000000)</f>
        <v>375000.00000000006</v>
      </c>
      <c r="G36" s="6">
        <f>F6*(G22*1000000)</f>
        <v>375000.00000000006</v>
      </c>
      <c r="H36" s="6">
        <f>F6*(H22*1000000)</f>
        <v>375000.00000000006</v>
      </c>
      <c r="I36" s="6"/>
      <c r="J36" s="6"/>
      <c r="K36" s="6"/>
      <c r="L36" s="6"/>
      <c r="M36" s="6"/>
      <c r="N36" s="6"/>
      <c r="O36" s="6"/>
    </row>
    <row r="37" spans="1:15">
      <c r="B37" t="s">
        <v>96</v>
      </c>
      <c r="C37" s="6"/>
      <c r="D37" s="45">
        <f>F7*(D21*1000000)</f>
        <v>400000</v>
      </c>
      <c r="E37" s="45">
        <f t="shared" ref="E37:H37" si="4">D37</f>
        <v>400000</v>
      </c>
      <c r="F37" s="45">
        <f t="shared" si="4"/>
        <v>400000</v>
      </c>
      <c r="G37" s="45">
        <f t="shared" si="4"/>
        <v>400000</v>
      </c>
      <c r="H37" s="45">
        <f t="shared" si="4"/>
        <v>400000</v>
      </c>
      <c r="I37" s="6"/>
      <c r="J37" s="6"/>
      <c r="K37" s="6"/>
      <c r="L37" s="6"/>
      <c r="M37" s="6"/>
      <c r="N37" s="6"/>
      <c r="O37" s="6"/>
    </row>
    <row r="38" spans="1:15">
      <c r="B38" t="s">
        <v>97</v>
      </c>
      <c r="C38" s="6"/>
      <c r="D38" s="45">
        <f>SUM(D36:D37)</f>
        <v>775000</v>
      </c>
      <c r="E38" s="45">
        <f t="shared" ref="E38:H38" si="5">SUM(E36:E37)</f>
        <v>775000</v>
      </c>
      <c r="F38" s="45">
        <f t="shared" si="5"/>
        <v>775000</v>
      </c>
      <c r="G38" s="45">
        <f t="shared" si="5"/>
        <v>775000</v>
      </c>
      <c r="H38" s="45">
        <f t="shared" si="5"/>
        <v>775000</v>
      </c>
      <c r="I38" s="6"/>
      <c r="J38" s="6"/>
      <c r="K38" s="6"/>
      <c r="L38" s="8"/>
      <c r="M38" s="6"/>
      <c r="N38" s="6"/>
      <c r="O38" s="6"/>
    </row>
    <row r="39" spans="1:15">
      <c r="B39" t="s">
        <v>98</v>
      </c>
      <c r="C39" s="6"/>
      <c r="D39" s="45">
        <f>D21*(F8*1000000)</f>
        <v>850000</v>
      </c>
      <c r="E39" s="6">
        <f t="shared" ref="E39:H40" si="6">D39</f>
        <v>850000</v>
      </c>
      <c r="F39" s="6">
        <f t="shared" si="6"/>
        <v>850000</v>
      </c>
      <c r="G39" s="6">
        <f t="shared" si="6"/>
        <v>850000</v>
      </c>
      <c r="H39" s="6">
        <f t="shared" si="6"/>
        <v>850000</v>
      </c>
      <c r="I39" s="6"/>
      <c r="J39" s="6"/>
      <c r="K39" s="6"/>
      <c r="L39" s="6"/>
      <c r="M39" s="6"/>
      <c r="N39" s="6"/>
      <c r="O39" s="6"/>
    </row>
    <row r="40" spans="1:15">
      <c r="B40" t="s">
        <v>99</v>
      </c>
      <c r="C40" s="6"/>
      <c r="D40" s="45">
        <f>D21*(F9*1000000)</f>
        <v>500000</v>
      </c>
      <c r="E40" s="6">
        <f t="shared" si="6"/>
        <v>500000</v>
      </c>
      <c r="F40" s="6">
        <f t="shared" si="6"/>
        <v>500000</v>
      </c>
      <c r="G40" s="6">
        <f t="shared" si="6"/>
        <v>500000</v>
      </c>
      <c r="H40" s="6">
        <f t="shared" si="6"/>
        <v>500000</v>
      </c>
      <c r="I40" s="6"/>
      <c r="J40" s="6"/>
      <c r="K40" s="6"/>
      <c r="L40" s="6"/>
      <c r="M40" s="6"/>
      <c r="N40" s="6"/>
      <c r="O40" s="6"/>
    </row>
    <row r="41" spans="1:15">
      <c r="B41" t="s">
        <v>42</v>
      </c>
      <c r="C41" s="6"/>
      <c r="D41" s="45">
        <f>SUM(D38:D40)</f>
        <v>2125000</v>
      </c>
      <c r="E41" s="45">
        <f t="shared" ref="E41:H41" si="7">SUM(E38:E40)</f>
        <v>2125000</v>
      </c>
      <c r="F41" s="45">
        <f t="shared" si="7"/>
        <v>2125000</v>
      </c>
      <c r="G41" s="45">
        <f t="shared" si="7"/>
        <v>2125000</v>
      </c>
      <c r="H41" s="45">
        <f t="shared" si="7"/>
        <v>2125000</v>
      </c>
      <c r="I41" s="6"/>
      <c r="J41" s="6"/>
      <c r="K41" s="6"/>
      <c r="L41" s="6"/>
      <c r="M41" s="6"/>
      <c r="N41" s="6"/>
      <c r="O41" s="6"/>
    </row>
    <row r="42" spans="1:15" s="15" customFormat="1">
      <c r="B42" s="52" t="s">
        <v>10</v>
      </c>
      <c r="C42" s="45"/>
      <c r="D42" s="45">
        <f>D35-D41</f>
        <v>2118732.6607818417</v>
      </c>
      <c r="E42" s="45">
        <f t="shared" ref="E42:H42" si="8">E35-E41</f>
        <v>2118732.6607818408</v>
      </c>
      <c r="F42" s="45">
        <f t="shared" si="8"/>
        <v>2118732.6607818408</v>
      </c>
      <c r="G42" s="45">
        <f t="shared" si="8"/>
        <v>2118732.6607818408</v>
      </c>
      <c r="H42" s="45">
        <f t="shared" si="8"/>
        <v>2118732.6607818408</v>
      </c>
      <c r="I42" s="45"/>
      <c r="J42" s="45"/>
      <c r="K42" s="45"/>
      <c r="L42" s="45"/>
      <c r="M42" s="45"/>
      <c r="N42" s="45"/>
      <c r="O42" s="45"/>
    </row>
    <row r="43" spans="1:15">
      <c r="B43" t="s">
        <v>11</v>
      </c>
      <c r="C43" s="6"/>
      <c r="D43" s="45">
        <f t="shared" ref="D43" si="9">F13</f>
        <v>1255000</v>
      </c>
      <c r="E43" s="45">
        <f t="shared" ref="E43:G43" si="10">D43</f>
        <v>1255000</v>
      </c>
      <c r="F43" s="45">
        <f t="shared" si="10"/>
        <v>1255000</v>
      </c>
      <c r="G43" s="45">
        <f t="shared" si="10"/>
        <v>1255000</v>
      </c>
      <c r="H43" s="6">
        <v>0</v>
      </c>
      <c r="I43" s="6"/>
      <c r="J43" s="6"/>
      <c r="K43" s="6"/>
      <c r="L43" s="6"/>
      <c r="M43" s="6"/>
      <c r="N43" s="6"/>
      <c r="O43" s="6"/>
    </row>
    <row r="44" spans="1:15">
      <c r="B44" t="s">
        <v>100</v>
      </c>
      <c r="C44" s="6"/>
      <c r="D44" s="45">
        <f>D42-D43</f>
        <v>863732.66078184173</v>
      </c>
      <c r="E44" s="45">
        <f t="shared" ref="E44:H44" si="11">E42-E43</f>
        <v>863732.66078184079</v>
      </c>
      <c r="F44" s="45">
        <f t="shared" si="11"/>
        <v>863732.66078184079</v>
      </c>
      <c r="G44" s="45">
        <f t="shared" si="11"/>
        <v>863732.66078184079</v>
      </c>
      <c r="H44" s="45">
        <f t="shared" si="11"/>
        <v>2118732.6607818408</v>
      </c>
      <c r="I44" s="6"/>
      <c r="J44" s="6"/>
      <c r="K44" s="6"/>
      <c r="L44" s="6"/>
      <c r="M44" s="6"/>
      <c r="N44" s="6"/>
      <c r="O44" s="6"/>
    </row>
    <row r="45" spans="1:15" s="15" customFormat="1">
      <c r="B45" s="15" t="s">
        <v>78</v>
      </c>
      <c r="C45" s="45"/>
      <c r="D45" s="45">
        <f>D65</f>
        <v>150000</v>
      </c>
      <c r="E45" s="45">
        <f t="shared" ref="E45:H45" si="12">E65</f>
        <v>100000</v>
      </c>
      <c r="F45" s="45">
        <f t="shared" si="12"/>
        <v>50000</v>
      </c>
      <c r="G45" s="45">
        <f t="shared" si="12"/>
        <v>0</v>
      </c>
      <c r="H45" s="45">
        <f t="shared" si="12"/>
        <v>0</v>
      </c>
      <c r="I45" s="45"/>
      <c r="J45" s="45"/>
      <c r="K45" s="45"/>
      <c r="L45" s="45"/>
      <c r="M45" s="45"/>
      <c r="N45" s="45"/>
      <c r="O45" s="45"/>
    </row>
    <row r="46" spans="1:15" s="15" customFormat="1">
      <c r="B46" t="s">
        <v>13</v>
      </c>
      <c r="C46" s="45"/>
      <c r="D46" s="45">
        <f>D44-D45</f>
        <v>713732.66078184173</v>
      </c>
      <c r="E46" s="45">
        <f t="shared" ref="E46:H46" si="13">E44-E45</f>
        <v>763732.66078184079</v>
      </c>
      <c r="F46" s="45">
        <f t="shared" si="13"/>
        <v>813732.66078184079</v>
      </c>
      <c r="G46" s="45">
        <f t="shared" si="13"/>
        <v>863732.66078184079</v>
      </c>
      <c r="H46" s="45">
        <f t="shared" si="13"/>
        <v>2118732.6607818408</v>
      </c>
      <c r="I46" s="45"/>
      <c r="J46" s="45"/>
      <c r="K46" s="45"/>
      <c r="L46" s="45"/>
      <c r="M46" s="45"/>
      <c r="N46" s="45"/>
      <c r="O46" s="45"/>
    </row>
    <row r="47" spans="1:15">
      <c r="B47" t="s">
        <v>12</v>
      </c>
      <c r="C47" s="6"/>
      <c r="D47" s="45">
        <f>F14</f>
        <v>100000</v>
      </c>
      <c r="E47" s="6">
        <f t="shared" ref="E47:H47" si="14">D47</f>
        <v>100000</v>
      </c>
      <c r="F47" s="6">
        <f t="shared" si="14"/>
        <v>100000</v>
      </c>
      <c r="G47" s="6">
        <f t="shared" si="14"/>
        <v>100000</v>
      </c>
      <c r="H47" s="6">
        <f t="shared" si="14"/>
        <v>100000</v>
      </c>
      <c r="I47" s="6"/>
      <c r="J47" s="6"/>
      <c r="K47" s="6"/>
      <c r="L47" s="6"/>
      <c r="M47" s="6"/>
      <c r="N47" s="6"/>
      <c r="O47" s="6"/>
    </row>
    <row r="48" spans="1:15">
      <c r="B48" s="46" t="s">
        <v>101</v>
      </c>
      <c r="C48" s="6"/>
      <c r="D48" s="45">
        <f>D46-D47</f>
        <v>613732.66078184173</v>
      </c>
      <c r="E48" s="45">
        <f t="shared" ref="E48:H48" si="15">E46-E47</f>
        <v>663732.66078184079</v>
      </c>
      <c r="F48" s="45">
        <f t="shared" si="15"/>
        <v>713732.66078184079</v>
      </c>
      <c r="G48" s="45">
        <f t="shared" si="15"/>
        <v>763732.66078184079</v>
      </c>
      <c r="H48" s="45">
        <f t="shared" si="15"/>
        <v>2018732.6607818408</v>
      </c>
      <c r="I48" s="6"/>
      <c r="J48" s="6"/>
      <c r="K48" s="6"/>
      <c r="L48" s="6"/>
      <c r="M48" s="6"/>
      <c r="N48" s="6"/>
      <c r="O48" s="6"/>
    </row>
    <row r="49" spans="1:15">
      <c r="B49" t="s">
        <v>102</v>
      </c>
      <c r="C49" s="6"/>
      <c r="D49" s="45">
        <f>0.3*D48</f>
        <v>184119.79823455252</v>
      </c>
      <c r="E49" s="45">
        <f t="shared" ref="E49:H49" si="16">0.3*E48</f>
        <v>199119.79823455223</v>
      </c>
      <c r="F49" s="45">
        <f t="shared" si="16"/>
        <v>214119.79823455223</v>
      </c>
      <c r="G49" s="45">
        <f t="shared" si="16"/>
        <v>229119.79823455223</v>
      </c>
      <c r="H49" s="45">
        <f t="shared" si="16"/>
        <v>605619.79823455226</v>
      </c>
      <c r="I49" s="6"/>
      <c r="L49" s="6"/>
      <c r="M49" s="6"/>
      <c r="N49" s="6"/>
      <c r="O49" s="6"/>
    </row>
    <row r="50" spans="1:15">
      <c r="B50" t="s">
        <v>103</v>
      </c>
      <c r="C50" s="6"/>
      <c r="D50" s="45">
        <f>D48-D49</f>
        <v>429612.86254728923</v>
      </c>
      <c r="E50" s="45">
        <f t="shared" ref="E50:H50" si="17">E48-E49</f>
        <v>464612.86254728853</v>
      </c>
      <c r="F50" s="45">
        <f t="shared" si="17"/>
        <v>499612.86254728853</v>
      </c>
      <c r="G50" s="45">
        <f t="shared" si="17"/>
        <v>534612.86254728853</v>
      </c>
      <c r="H50" s="45">
        <f t="shared" si="17"/>
        <v>1413112.8625472886</v>
      </c>
      <c r="I50" s="6"/>
      <c r="L50" s="6"/>
      <c r="M50" s="6"/>
      <c r="N50" s="6"/>
      <c r="O50" s="6"/>
    </row>
    <row r="51" spans="1:15">
      <c r="B51" t="s">
        <v>16</v>
      </c>
      <c r="C51" s="6"/>
      <c r="D51" s="45">
        <f>D43+D47+D50</f>
        <v>1784612.8625472891</v>
      </c>
      <c r="E51" s="45">
        <f t="shared" ref="E51:H51" si="18">E43+E47+E50</f>
        <v>1819612.8625472886</v>
      </c>
      <c r="F51" s="45">
        <f t="shared" si="18"/>
        <v>1854612.8625472886</v>
      </c>
      <c r="G51" s="45">
        <f t="shared" si="18"/>
        <v>1889612.8625472886</v>
      </c>
      <c r="H51" s="45">
        <f t="shared" si="18"/>
        <v>1513112.8625472886</v>
      </c>
      <c r="I51" s="6"/>
      <c r="J51" s="6"/>
      <c r="K51" s="6"/>
      <c r="L51" s="6"/>
      <c r="M51" s="6"/>
      <c r="N51" s="6"/>
      <c r="O51" s="6"/>
    </row>
    <row r="52" spans="1:15">
      <c r="B52" s="46" t="s">
        <v>18</v>
      </c>
      <c r="C52" s="6">
        <f>-C27</f>
        <v>-5450000</v>
      </c>
      <c r="D52" s="45">
        <f>C52+D51</f>
        <v>-3665387.1374527109</v>
      </c>
      <c r="E52" s="45">
        <f>E51</f>
        <v>1819612.8625472886</v>
      </c>
      <c r="F52" s="45">
        <f t="shared" ref="F52:H52" si="19">F51</f>
        <v>1854612.8625472886</v>
      </c>
      <c r="G52" s="45">
        <f t="shared" si="19"/>
        <v>1889612.8625472886</v>
      </c>
      <c r="H52" s="45">
        <f t="shared" si="19"/>
        <v>1513112.8625472886</v>
      </c>
      <c r="I52" s="6"/>
      <c r="J52" s="6"/>
      <c r="K52" s="6"/>
      <c r="L52" s="6"/>
      <c r="M52" s="6"/>
      <c r="N52" s="6"/>
      <c r="O52" s="6"/>
    </row>
    <row r="53" spans="1:15">
      <c r="C53" s="6"/>
      <c r="D53" s="45"/>
      <c r="E53" s="6"/>
      <c r="F53" s="6"/>
      <c r="G53" s="6"/>
      <c r="H53" s="6"/>
      <c r="L53" s="8"/>
    </row>
    <row r="54" spans="1:15">
      <c r="B54" s="28" t="s">
        <v>110</v>
      </c>
      <c r="C54" s="6"/>
      <c r="D54" s="45">
        <f>F15</f>
        <v>7</v>
      </c>
      <c r="E54" s="6">
        <f t="shared" ref="E54" si="20">D54+F16</f>
        <v>7.25</v>
      </c>
      <c r="F54" s="6">
        <f>E54+F16</f>
        <v>7.5</v>
      </c>
      <c r="G54" s="6">
        <f>F54+F16</f>
        <v>7.75</v>
      </c>
      <c r="H54" s="6">
        <f>G54+F16</f>
        <v>8</v>
      </c>
      <c r="I54" s="6"/>
      <c r="J54" s="6"/>
      <c r="K54" s="6"/>
      <c r="L54" s="6"/>
      <c r="M54" s="6"/>
      <c r="N54" s="6"/>
      <c r="O54" s="6"/>
    </row>
    <row r="55" spans="1:15">
      <c r="B55" t="s">
        <v>104</v>
      </c>
      <c r="C55" s="6"/>
      <c r="D55" s="45">
        <f>D52</f>
        <v>-3665387.1374527109</v>
      </c>
      <c r="E55" s="6">
        <f>E52/(POWER((1+(E54/100)),1))</f>
        <v>1696608.7296478215</v>
      </c>
      <c r="F55" s="6">
        <f>F52/(POWER((1+(F54/100)),2))</f>
        <v>1604856.993010093</v>
      </c>
      <c r="G55" s="6">
        <f>G52/(POWER((1+(G54/100)),3))</f>
        <v>1510500.9404785603</v>
      </c>
      <c r="H55" s="6">
        <f>H52/(POWER((1+(H54/100)),4))</f>
        <v>1112183.1246225536</v>
      </c>
      <c r="I55" s="6"/>
      <c r="J55" s="6"/>
      <c r="K55" s="6"/>
      <c r="L55" s="6"/>
      <c r="M55" s="6"/>
      <c r="N55" s="6"/>
      <c r="O55" s="6"/>
    </row>
    <row r="56" spans="1:15">
      <c r="B56" s="46" t="s">
        <v>1</v>
      </c>
      <c r="C56" s="6"/>
      <c r="D56" s="45">
        <f>NPV(0,D55)</f>
        <v>-3665387.1374527109</v>
      </c>
      <c r="E56" s="45">
        <f>D56+E55</f>
        <v>-1968778.4078048894</v>
      </c>
      <c r="F56" s="45">
        <f>E56+F55</f>
        <v>-363921.41479479638</v>
      </c>
      <c r="G56" s="45">
        <f>F56+G55</f>
        <v>1146579.5256837639</v>
      </c>
      <c r="H56" s="45">
        <f>G56+H55</f>
        <v>2258762.6503063175</v>
      </c>
      <c r="J56" s="11" t="s">
        <v>1</v>
      </c>
      <c r="K56" s="31">
        <f>NPV(0.07,E55:G55)+D55</f>
        <v>554991.45952155953</v>
      </c>
      <c r="L56" s="8"/>
    </row>
    <row r="57" spans="1:15">
      <c r="B57" s="15"/>
      <c r="C57" s="45"/>
      <c r="D57" s="45"/>
      <c r="E57" s="45"/>
      <c r="F57" s="45"/>
      <c r="G57" s="45"/>
      <c r="H57" s="45"/>
      <c r="J57" s="11" t="s">
        <v>0</v>
      </c>
      <c r="K57" s="32">
        <f>IRR(D55:G55)</f>
        <v>0.15278580992141239</v>
      </c>
      <c r="L57" s="8"/>
    </row>
    <row r="59" spans="1:15">
      <c r="B59" s="35" t="s">
        <v>108</v>
      </c>
      <c r="C59" s="6">
        <f>I14</f>
        <v>1000000</v>
      </c>
    </row>
    <row r="60" spans="1:15">
      <c r="A60" s="15"/>
      <c r="B60" s="38" t="s">
        <v>105</v>
      </c>
      <c r="C60" s="6">
        <f>I12</f>
        <v>3000000</v>
      </c>
      <c r="D60" s="35"/>
      <c r="E60" s="35"/>
    </row>
    <row r="61" spans="1:15">
      <c r="B61" s="35" t="s">
        <v>75</v>
      </c>
      <c r="C61" s="35">
        <f>I13</f>
        <v>0.05</v>
      </c>
      <c r="D61" s="35"/>
      <c r="J61" s="15"/>
      <c r="K61" s="15"/>
      <c r="L61" s="15"/>
      <c r="M61" s="15"/>
      <c r="N61" s="15"/>
    </row>
    <row r="62" spans="1:15">
      <c r="B62" s="35" t="s">
        <v>77</v>
      </c>
      <c r="C62" s="36">
        <v>0</v>
      </c>
      <c r="D62" s="36">
        <v>1</v>
      </c>
      <c r="E62" s="36">
        <v>2</v>
      </c>
      <c r="F62" s="36">
        <v>3</v>
      </c>
      <c r="G62" s="36">
        <v>4</v>
      </c>
      <c r="H62" s="36">
        <v>5</v>
      </c>
      <c r="I62" s="36"/>
      <c r="J62" s="48"/>
      <c r="K62" s="47"/>
      <c r="L62" s="15"/>
      <c r="M62" s="15"/>
      <c r="N62" s="15"/>
    </row>
    <row r="63" spans="1:15">
      <c r="B63" s="35" t="s">
        <v>79</v>
      </c>
      <c r="C63" s="17">
        <f>C60</f>
        <v>3000000</v>
      </c>
      <c r="D63" s="17">
        <f>C60</f>
        <v>3000000</v>
      </c>
      <c r="E63" s="17">
        <f>D63-D64</f>
        <v>2000000</v>
      </c>
      <c r="F63" s="17">
        <f>E63-E64</f>
        <v>1000000</v>
      </c>
      <c r="G63" s="17">
        <f t="shared" ref="G63:H63" si="21">F63-F64</f>
        <v>0</v>
      </c>
      <c r="H63" s="17">
        <f t="shared" si="21"/>
        <v>0</v>
      </c>
      <c r="I63" s="17"/>
      <c r="J63" s="49"/>
      <c r="K63" s="47"/>
      <c r="L63" s="15"/>
      <c r="M63" s="15"/>
      <c r="N63" s="15"/>
    </row>
    <row r="64" spans="1:15">
      <c r="B64" s="35" t="s">
        <v>82</v>
      </c>
      <c r="C64" s="17" t="s">
        <v>76</v>
      </c>
      <c r="D64" s="17">
        <f>C59</f>
        <v>1000000</v>
      </c>
      <c r="E64" s="17">
        <f>C59</f>
        <v>1000000</v>
      </c>
      <c r="F64" s="17">
        <f>C59</f>
        <v>1000000</v>
      </c>
      <c r="G64" s="17"/>
      <c r="H64" s="17"/>
      <c r="I64" s="17"/>
      <c r="J64" s="49"/>
      <c r="K64" s="49"/>
      <c r="L64" s="15"/>
      <c r="M64" s="15"/>
      <c r="N64" s="50"/>
    </row>
    <row r="65" spans="2:15">
      <c r="B65" s="35" t="s">
        <v>78</v>
      </c>
      <c r="C65" s="6"/>
      <c r="D65" s="17">
        <f>D63*C61</f>
        <v>150000</v>
      </c>
      <c r="E65" s="17">
        <f>E63*C61</f>
        <v>100000</v>
      </c>
      <c r="F65" s="17">
        <f>F63*C61</f>
        <v>50000</v>
      </c>
      <c r="G65" s="17">
        <f>G63*C61</f>
        <v>0</v>
      </c>
      <c r="H65" s="17">
        <f>H63*C61</f>
        <v>0</v>
      </c>
      <c r="I65" s="17"/>
      <c r="J65" s="49"/>
      <c r="K65" s="49"/>
      <c r="L65" s="15"/>
      <c r="M65" s="15"/>
      <c r="N65" s="34"/>
    </row>
    <row r="66" spans="2:15">
      <c r="B66" s="35" t="s">
        <v>81</v>
      </c>
      <c r="C66" s="40">
        <f>-C31</f>
        <v>0</v>
      </c>
      <c r="D66" s="17">
        <f>SUM(D64:D65)</f>
        <v>1150000</v>
      </c>
      <c r="E66" s="17">
        <f t="shared" ref="E66" si="22">SUM(E64:E65)</f>
        <v>1100000</v>
      </c>
      <c r="F66" s="17">
        <f>SUM(F64:F65)</f>
        <v>1050000</v>
      </c>
      <c r="G66" s="17">
        <f t="shared" ref="G66:H66" si="23">SUM(G64:G65)</f>
        <v>0</v>
      </c>
      <c r="H66" s="17">
        <f t="shared" si="23"/>
        <v>0</v>
      </c>
      <c r="I66" s="17"/>
      <c r="J66" s="49"/>
      <c r="K66" s="49"/>
      <c r="L66" s="15"/>
      <c r="M66" s="15"/>
      <c r="N66" s="15"/>
    </row>
    <row r="67" spans="2:15">
      <c r="B67" s="35"/>
      <c r="C67" s="6"/>
      <c r="D67" s="17"/>
      <c r="E67" s="17"/>
      <c r="F67" s="17"/>
      <c r="G67" s="17"/>
      <c r="H67" s="17"/>
      <c r="I67" s="17"/>
      <c r="J67" s="49"/>
      <c r="K67" s="15"/>
      <c r="L67" s="15"/>
      <c r="M67" s="15"/>
      <c r="N67" s="15"/>
    </row>
    <row r="68" spans="2:15">
      <c r="B68" s="35"/>
      <c r="C68" s="6"/>
      <c r="D68" s="6"/>
      <c r="E68" s="6"/>
      <c r="F68" s="6"/>
      <c r="G68" s="6"/>
      <c r="H68" s="6"/>
      <c r="I68" s="6"/>
      <c r="J68" s="45"/>
      <c r="K68" s="15"/>
      <c r="L68" s="15"/>
      <c r="M68" s="15"/>
      <c r="N68" s="15"/>
    </row>
    <row r="69" spans="2:15">
      <c r="B69" s="47"/>
      <c r="C69" s="45"/>
      <c r="D69" s="45"/>
      <c r="E69" s="45"/>
      <c r="F69" s="45"/>
      <c r="G69" s="45"/>
      <c r="H69" s="45"/>
      <c r="I69" s="45"/>
      <c r="J69" s="45"/>
      <c r="K69" s="15"/>
      <c r="L69" s="15"/>
      <c r="M69" s="15"/>
      <c r="N69" s="15"/>
      <c r="O69" s="15"/>
    </row>
    <row r="70" spans="2:15">
      <c r="B70" s="47"/>
      <c r="C70" s="45"/>
      <c r="D70" s="45"/>
      <c r="E70" s="45"/>
      <c r="F70" s="45"/>
      <c r="G70" s="45"/>
      <c r="H70" s="45"/>
      <c r="I70" s="45"/>
      <c r="J70" s="45"/>
      <c r="K70" s="15"/>
      <c r="L70" s="15"/>
      <c r="M70" s="15"/>
      <c r="N70" s="15"/>
      <c r="O70" s="15"/>
    </row>
    <row r="71" spans="2:15">
      <c r="B71" s="47"/>
      <c r="C71" s="45"/>
      <c r="D71" s="47"/>
      <c r="E71" s="47"/>
      <c r="F71" s="15"/>
      <c r="G71" s="15"/>
      <c r="H71" s="15"/>
      <c r="I71" s="15"/>
      <c r="J71" s="15"/>
      <c r="K71" s="15"/>
      <c r="L71" s="15"/>
      <c r="M71" s="15"/>
      <c r="N71" s="15"/>
      <c r="O71" s="15"/>
    </row>
    <row r="72" spans="2:15">
      <c r="B72" s="47"/>
      <c r="C72" s="47"/>
      <c r="D72" s="47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</row>
    <row r="73" spans="2:15">
      <c r="B73" s="47"/>
      <c r="C73" s="48"/>
      <c r="D73" s="48"/>
      <c r="E73" s="48"/>
      <c r="F73" s="48"/>
      <c r="G73" s="48"/>
      <c r="H73" s="48"/>
      <c r="I73" s="48"/>
      <c r="J73" s="48"/>
      <c r="K73" s="47"/>
      <c r="L73" s="15"/>
      <c r="M73" s="15"/>
      <c r="N73" s="15"/>
      <c r="O73" s="15"/>
    </row>
    <row r="74" spans="2:15">
      <c r="B74" s="47"/>
      <c r="C74" s="49"/>
      <c r="D74" s="49"/>
      <c r="E74" s="49"/>
      <c r="F74" s="49"/>
      <c r="G74" s="49"/>
      <c r="H74" s="49"/>
      <c r="I74" s="49"/>
      <c r="J74" s="49"/>
      <c r="K74" s="47"/>
      <c r="L74" s="15"/>
      <c r="M74" s="15"/>
      <c r="N74" s="15"/>
      <c r="O74" s="15"/>
    </row>
    <row r="75" spans="2:15">
      <c r="B75" s="47"/>
      <c r="C75" s="49"/>
      <c r="D75" s="49"/>
      <c r="E75" s="49"/>
      <c r="F75" s="49"/>
      <c r="G75" s="49"/>
      <c r="H75" s="49"/>
      <c r="I75" s="49"/>
      <c r="J75" s="49"/>
      <c r="K75" s="49"/>
      <c r="L75" s="15"/>
      <c r="M75" s="15"/>
      <c r="N75" s="50"/>
      <c r="O75" s="15"/>
    </row>
    <row r="76" spans="2:15">
      <c r="B76" s="47"/>
      <c r="C76" s="45"/>
      <c r="D76" s="49"/>
      <c r="E76" s="49"/>
      <c r="F76" s="49"/>
      <c r="G76" s="49"/>
      <c r="H76" s="49"/>
      <c r="I76" s="49"/>
      <c r="J76" s="49"/>
      <c r="K76" s="49"/>
      <c r="L76" s="15"/>
      <c r="M76" s="15"/>
      <c r="N76" s="34"/>
      <c r="O76" s="15"/>
    </row>
    <row r="77" spans="2:15">
      <c r="B77" s="47"/>
      <c r="C77" s="51"/>
      <c r="D77" s="49"/>
      <c r="E77" s="49"/>
      <c r="F77" s="49"/>
      <c r="G77" s="49"/>
      <c r="H77" s="49"/>
      <c r="I77" s="49"/>
      <c r="J77" s="49"/>
      <c r="K77" s="49"/>
      <c r="L77" s="15"/>
      <c r="M77" s="15"/>
      <c r="N77" s="15"/>
      <c r="O77" s="15"/>
    </row>
    <row r="78" spans="2:15">
      <c r="B78" s="47"/>
      <c r="C78" s="45"/>
      <c r="D78" s="49"/>
      <c r="E78" s="49"/>
      <c r="F78" s="49"/>
      <c r="G78" s="49"/>
      <c r="H78" s="49"/>
      <c r="I78" s="49"/>
      <c r="J78" s="49"/>
      <c r="K78" s="15"/>
      <c r="L78" s="15"/>
      <c r="M78" s="15"/>
      <c r="N78" s="15"/>
      <c r="O78" s="15"/>
    </row>
  </sheetData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69"/>
  <sheetViews>
    <sheetView tabSelected="1" zoomScale="50" zoomScaleNormal="50" workbookViewId="0">
      <selection activeCell="I31" sqref="I31"/>
    </sheetView>
  </sheetViews>
  <sheetFormatPr baseColWidth="10" defaultRowHeight="15"/>
  <cols>
    <col min="1" max="1" width="0.28515625" customWidth="1"/>
    <col min="2" max="2" width="21.140625" customWidth="1"/>
    <col min="3" max="3" width="17" customWidth="1"/>
    <col min="4" max="4" width="19" customWidth="1"/>
    <col min="5" max="6" width="18.5703125" customWidth="1"/>
    <col min="7" max="7" width="19.28515625" customWidth="1"/>
    <col min="8" max="8" width="22.5703125" customWidth="1"/>
    <col min="9" max="9" width="20.7109375" customWidth="1"/>
    <col min="10" max="10" width="16.5703125" customWidth="1"/>
    <col min="11" max="11" width="13.140625" bestFit="1" customWidth="1"/>
    <col min="13" max="13" width="14.7109375" customWidth="1"/>
  </cols>
  <sheetData>
    <row r="1" spans="2:12">
      <c r="B1" s="9" t="s">
        <v>113</v>
      </c>
      <c r="C1" s="9"/>
      <c r="D1" s="18"/>
      <c r="E1" s="41"/>
      <c r="F1" s="41"/>
      <c r="G1" s="41"/>
      <c r="H1" s="41"/>
      <c r="I1" s="41"/>
      <c r="J1" s="41"/>
    </row>
    <row r="2" spans="2:12">
      <c r="B2" s="35"/>
      <c r="D2" s="18"/>
    </row>
    <row r="3" spans="2:12">
      <c r="B3" t="s">
        <v>60</v>
      </c>
      <c r="C3" s="23">
        <v>10</v>
      </c>
      <c r="D3" s="18"/>
    </row>
    <row r="4" spans="2:12">
      <c r="B4" t="s">
        <v>86</v>
      </c>
      <c r="C4" s="23">
        <v>5</v>
      </c>
      <c r="D4" s="18"/>
    </row>
    <row r="5" spans="2:12">
      <c r="B5" t="s">
        <v>46</v>
      </c>
      <c r="C5" s="23">
        <v>0.25</v>
      </c>
      <c r="D5" s="18"/>
      <c r="E5" t="s">
        <v>49</v>
      </c>
      <c r="F5" s="23">
        <v>1.2</v>
      </c>
      <c r="H5" t="s">
        <v>62</v>
      </c>
      <c r="I5" s="42"/>
      <c r="L5" s="8"/>
    </row>
    <row r="6" spans="2:12">
      <c r="D6" s="22"/>
      <c r="E6" t="s">
        <v>91</v>
      </c>
      <c r="F6" s="23">
        <v>1.25</v>
      </c>
      <c r="G6" s="22"/>
      <c r="H6" s="29" t="s">
        <v>63</v>
      </c>
      <c r="I6" s="42"/>
      <c r="J6" s="22"/>
      <c r="K6" s="22"/>
      <c r="L6" s="22"/>
    </row>
    <row r="7" spans="2:12">
      <c r="B7" t="s">
        <v>43</v>
      </c>
      <c r="C7" s="22">
        <v>1230</v>
      </c>
      <c r="D7" s="23"/>
      <c r="E7" t="s">
        <v>92</v>
      </c>
      <c r="F7" s="23">
        <v>2</v>
      </c>
      <c r="G7" s="23"/>
      <c r="H7" s="28" t="s">
        <v>64</v>
      </c>
      <c r="I7" s="42">
        <v>0.2</v>
      </c>
      <c r="J7" s="23"/>
      <c r="K7" s="23"/>
      <c r="L7" s="23"/>
    </row>
    <row r="8" spans="2:12">
      <c r="B8" t="s">
        <v>44</v>
      </c>
      <c r="C8" s="23">
        <v>0.67</v>
      </c>
      <c r="D8" s="23"/>
      <c r="E8" t="s">
        <v>93</v>
      </c>
      <c r="F8" s="23">
        <v>4.25</v>
      </c>
      <c r="G8" s="23"/>
      <c r="H8" s="23"/>
      <c r="I8" s="43"/>
      <c r="J8" s="23"/>
      <c r="K8" s="23"/>
      <c r="L8" s="23"/>
    </row>
    <row r="9" spans="2:12">
      <c r="B9" t="s">
        <v>45</v>
      </c>
      <c r="C9" s="23">
        <v>0.6</v>
      </c>
      <c r="D9" s="23"/>
      <c r="E9" t="s">
        <v>94</v>
      </c>
      <c r="F9" s="23">
        <v>2.5</v>
      </c>
      <c r="G9" s="23"/>
      <c r="H9" s="28" t="s">
        <v>72</v>
      </c>
      <c r="I9" s="43">
        <v>0.2</v>
      </c>
      <c r="J9" s="23"/>
      <c r="K9" s="23"/>
      <c r="L9" s="23"/>
    </row>
    <row r="10" spans="2:12">
      <c r="B10" t="s">
        <v>47</v>
      </c>
      <c r="C10" s="23"/>
      <c r="D10" s="23"/>
      <c r="E10" t="s">
        <v>61</v>
      </c>
      <c r="F10" s="23">
        <v>0.25</v>
      </c>
      <c r="G10" s="23"/>
      <c r="H10" s="28" t="s">
        <v>6</v>
      </c>
      <c r="I10" s="43">
        <v>0.3</v>
      </c>
      <c r="J10" s="23"/>
      <c r="K10" s="23"/>
      <c r="L10" s="23"/>
    </row>
    <row r="11" spans="2:12">
      <c r="B11" t="s">
        <v>48</v>
      </c>
      <c r="C11" s="23">
        <v>190</v>
      </c>
      <c r="D11" s="23"/>
      <c r="E11" t="s">
        <v>2</v>
      </c>
      <c r="F11" s="24">
        <v>-5400000</v>
      </c>
      <c r="G11" s="23"/>
      <c r="H11" s="28" t="s">
        <v>75</v>
      </c>
      <c r="I11" s="43">
        <v>0.14000000000000001</v>
      </c>
      <c r="J11" s="23"/>
      <c r="K11" s="23"/>
      <c r="L11" s="23"/>
    </row>
    <row r="12" spans="2:12">
      <c r="B12" t="s">
        <v>87</v>
      </c>
      <c r="C12" s="5">
        <f>C7*(10/7.93)</f>
        <v>1551.0718789407315</v>
      </c>
      <c r="D12" s="23"/>
      <c r="E12" s="28" t="s">
        <v>3</v>
      </c>
      <c r="F12" s="24">
        <v>80000</v>
      </c>
      <c r="G12" s="23"/>
      <c r="H12" s="28" t="s">
        <v>106</v>
      </c>
      <c r="I12" s="24">
        <v>2000000</v>
      </c>
      <c r="J12" s="23"/>
      <c r="K12" s="23"/>
      <c r="L12" s="23"/>
    </row>
    <row r="13" spans="2:12">
      <c r="B13" t="s">
        <v>89</v>
      </c>
      <c r="C13" s="5">
        <f>C12*(C9/C8)</f>
        <v>1389.019593081252</v>
      </c>
      <c r="D13" s="23"/>
      <c r="E13" s="28" t="s">
        <v>11</v>
      </c>
      <c r="F13" s="24">
        <v>1255000</v>
      </c>
      <c r="G13" s="23"/>
      <c r="H13" s="28" t="s">
        <v>107</v>
      </c>
      <c r="I13" s="43">
        <v>0.05</v>
      </c>
      <c r="J13" s="23"/>
      <c r="K13" s="23"/>
      <c r="L13" s="23"/>
    </row>
    <row r="14" spans="2:12">
      <c r="B14" t="s">
        <v>88</v>
      </c>
      <c r="C14" s="5">
        <f>C13*D21</f>
        <v>277.80391861625043</v>
      </c>
      <c r="D14" s="23"/>
      <c r="E14" s="28" t="s">
        <v>12</v>
      </c>
      <c r="F14" s="24">
        <v>100000</v>
      </c>
      <c r="G14" s="23"/>
      <c r="H14" s="28" t="s">
        <v>108</v>
      </c>
      <c r="I14" s="24">
        <v>1000000</v>
      </c>
      <c r="J14" s="23"/>
      <c r="K14" s="23"/>
      <c r="L14" s="23"/>
    </row>
    <row r="15" spans="2:12">
      <c r="B15" t="s">
        <v>90</v>
      </c>
      <c r="C15" s="5"/>
      <c r="D15" s="23"/>
      <c r="E15" s="28" t="s">
        <v>109</v>
      </c>
      <c r="F15" s="23">
        <v>7</v>
      </c>
      <c r="G15" s="23"/>
      <c r="H15" s="23"/>
      <c r="I15" s="23"/>
      <c r="J15" s="23"/>
      <c r="K15" s="23"/>
      <c r="L15" s="23"/>
    </row>
    <row r="16" spans="2:12">
      <c r="C16" s="23"/>
      <c r="D16" s="23"/>
      <c r="E16" s="28" t="s">
        <v>111</v>
      </c>
      <c r="F16" s="23">
        <v>0.25</v>
      </c>
      <c r="G16" s="23"/>
      <c r="H16" s="23"/>
      <c r="I16" s="23"/>
      <c r="J16" s="23"/>
      <c r="K16" s="23"/>
      <c r="L16" s="23"/>
    </row>
    <row r="17" spans="1:12">
      <c r="D17" s="18"/>
      <c r="L17" s="8"/>
    </row>
    <row r="18" spans="1:12">
      <c r="B18" s="20" t="s">
        <v>67</v>
      </c>
      <c r="D18" s="18"/>
    </row>
    <row r="19" spans="1:12">
      <c r="A19" s="33"/>
      <c r="B19" s="16" t="s">
        <v>35</v>
      </c>
      <c r="C19" s="7">
        <v>0</v>
      </c>
      <c r="D19" s="7">
        <v>1</v>
      </c>
      <c r="E19" s="7">
        <v>2</v>
      </c>
      <c r="F19" s="7">
        <v>3</v>
      </c>
      <c r="G19" s="7">
        <v>4</v>
      </c>
      <c r="H19" s="7">
        <v>5</v>
      </c>
      <c r="I19" s="7">
        <v>6</v>
      </c>
      <c r="J19" s="7">
        <v>7</v>
      </c>
      <c r="K19" s="7"/>
      <c r="L19" s="7"/>
    </row>
    <row r="20" spans="1:12">
      <c r="A20" s="14"/>
      <c r="C20" s="7"/>
      <c r="D20" s="44">
        <v>2016</v>
      </c>
      <c r="E20" s="44">
        <v>2017</v>
      </c>
      <c r="F20" s="44">
        <v>2018</v>
      </c>
      <c r="G20" s="44">
        <v>2019</v>
      </c>
      <c r="H20" s="44">
        <v>2020</v>
      </c>
      <c r="I20" s="44">
        <v>2021</v>
      </c>
      <c r="J20" s="44">
        <v>2022</v>
      </c>
      <c r="L20" s="8"/>
    </row>
    <row r="21" spans="1:12">
      <c r="A21" s="14"/>
      <c r="B21" t="s">
        <v>36</v>
      </c>
      <c r="C21" s="7"/>
      <c r="D21" s="19">
        <f>I7</f>
        <v>0.2</v>
      </c>
      <c r="E21" s="19">
        <f t="shared" ref="E21:G21" si="0">D21</f>
        <v>0.2</v>
      </c>
      <c r="F21" s="19">
        <f t="shared" si="0"/>
        <v>0.2</v>
      </c>
      <c r="G21" s="19">
        <f t="shared" si="0"/>
        <v>0.2</v>
      </c>
      <c r="H21" s="19">
        <f t="shared" ref="H21:J21" si="1">G21</f>
        <v>0.2</v>
      </c>
      <c r="I21" s="19">
        <f t="shared" si="1"/>
        <v>0.2</v>
      </c>
      <c r="J21" s="19">
        <f t="shared" si="1"/>
        <v>0.2</v>
      </c>
      <c r="K21" s="19"/>
      <c r="L21" s="19"/>
    </row>
    <row r="22" spans="1:12">
      <c r="A22" s="14"/>
      <c r="B22" t="s">
        <v>114</v>
      </c>
      <c r="C22" s="7"/>
      <c r="D22" s="19">
        <f>D21*D23</f>
        <v>0.05</v>
      </c>
      <c r="E22" s="19">
        <f>E21*C5</f>
        <v>0.05</v>
      </c>
      <c r="F22" s="19">
        <f>F21*C5</f>
        <v>0.05</v>
      </c>
      <c r="G22" s="19">
        <f>C5*G21</f>
        <v>0.05</v>
      </c>
      <c r="H22" s="19">
        <f t="shared" ref="H22:J22" si="2">G22</f>
        <v>0.05</v>
      </c>
      <c r="I22" s="19">
        <f t="shared" si="2"/>
        <v>0.05</v>
      </c>
      <c r="J22" s="19">
        <f t="shared" si="2"/>
        <v>0.05</v>
      </c>
      <c r="K22" s="19"/>
      <c r="L22" s="19"/>
    </row>
    <row r="23" spans="1:12">
      <c r="A23" s="14"/>
      <c r="B23" t="s">
        <v>51</v>
      </c>
      <c r="C23" s="7"/>
      <c r="D23" s="19">
        <f>C5</f>
        <v>0.25</v>
      </c>
      <c r="E23" s="19">
        <f t="shared" ref="E23:G23" si="3">D23</f>
        <v>0.25</v>
      </c>
      <c r="F23" s="19">
        <f t="shared" si="3"/>
        <v>0.25</v>
      </c>
      <c r="G23" s="19">
        <f t="shared" si="3"/>
        <v>0.25</v>
      </c>
      <c r="H23" s="19">
        <f t="shared" ref="H23:J23" si="4">G23</f>
        <v>0.25</v>
      </c>
      <c r="I23" s="19">
        <f t="shared" si="4"/>
        <v>0.25</v>
      </c>
      <c r="J23" s="19">
        <f t="shared" si="4"/>
        <v>0.25</v>
      </c>
      <c r="K23" s="19"/>
      <c r="L23" s="19"/>
    </row>
    <row r="24" spans="1:12">
      <c r="A24" s="15"/>
      <c r="C24" s="6"/>
      <c r="D24" s="19"/>
      <c r="E24" s="19"/>
      <c r="F24" s="19"/>
      <c r="G24" s="6"/>
      <c r="H24" s="6"/>
    </row>
    <row r="25" spans="1:12">
      <c r="B25" t="s">
        <v>53</v>
      </c>
      <c r="D25" s="26">
        <f>F11</f>
        <v>-5400000</v>
      </c>
      <c r="E25" s="17">
        <v>-500000</v>
      </c>
      <c r="F25" s="17"/>
      <c r="G25" s="6"/>
      <c r="H25" s="6"/>
      <c r="L25" s="8"/>
    </row>
    <row r="26" spans="1:12">
      <c r="B26" t="s">
        <v>54</v>
      </c>
      <c r="C26" s="45"/>
      <c r="D26" s="17"/>
      <c r="E26" s="17"/>
      <c r="F26" s="17"/>
      <c r="G26" s="6"/>
      <c r="H26" s="6"/>
      <c r="L26" s="8"/>
    </row>
    <row r="27" spans="1:12">
      <c r="B27" t="s">
        <v>52</v>
      </c>
      <c r="C27" s="45"/>
      <c r="D27" s="17"/>
      <c r="E27" s="17"/>
      <c r="F27" s="17"/>
      <c r="G27" s="6"/>
      <c r="H27" s="6"/>
      <c r="L27" s="8"/>
    </row>
    <row r="28" spans="1:12">
      <c r="C28" s="6"/>
      <c r="D28" s="17"/>
      <c r="E28" s="17"/>
      <c r="F28" s="17"/>
      <c r="G28" s="6"/>
      <c r="H28" s="6"/>
      <c r="L28" s="8"/>
    </row>
    <row r="29" spans="1:12">
      <c r="B29" t="s">
        <v>69</v>
      </c>
      <c r="C29" s="6"/>
      <c r="D29" s="17"/>
      <c r="E29" s="17"/>
      <c r="F29" s="17"/>
      <c r="G29" s="6"/>
      <c r="H29" s="6"/>
      <c r="L29" s="8"/>
    </row>
    <row r="30" spans="1:12">
      <c r="B30" t="s">
        <v>71</v>
      </c>
      <c r="C30" s="6"/>
      <c r="D30" s="17"/>
      <c r="E30" s="17"/>
      <c r="F30" s="17"/>
      <c r="G30" s="6"/>
      <c r="H30" s="6"/>
      <c r="L30" s="8"/>
    </row>
    <row r="31" spans="1:12">
      <c r="B31" t="s">
        <v>68</v>
      </c>
      <c r="C31" s="6"/>
      <c r="D31" s="17"/>
      <c r="E31" s="17"/>
      <c r="F31" s="17"/>
      <c r="G31" s="6"/>
      <c r="H31" s="6"/>
      <c r="L31" s="8"/>
    </row>
    <row r="32" spans="1:12">
      <c r="A32" t="s">
        <v>70</v>
      </c>
      <c r="C32" s="6"/>
      <c r="D32" s="17"/>
      <c r="E32" s="17"/>
      <c r="F32" s="17"/>
      <c r="G32" s="6"/>
      <c r="H32" s="6"/>
      <c r="L32" s="8"/>
    </row>
    <row r="33" spans="1:12">
      <c r="A33" s="5"/>
      <c r="B33" s="5" t="s">
        <v>37</v>
      </c>
      <c r="C33" s="5"/>
      <c r="D33" s="21"/>
      <c r="E33" s="21"/>
      <c r="F33" s="21"/>
      <c r="G33" s="5"/>
      <c r="H33" s="5"/>
      <c r="I33" s="5"/>
      <c r="J33" s="5"/>
      <c r="K33" s="5"/>
      <c r="L33" s="5"/>
    </row>
    <row r="34" spans="1:12">
      <c r="B34" t="s">
        <v>38</v>
      </c>
      <c r="C34" s="6"/>
      <c r="D34" s="45"/>
      <c r="E34" s="6"/>
      <c r="F34" s="6"/>
      <c r="G34" s="6"/>
      <c r="H34" s="6"/>
      <c r="I34" s="6"/>
      <c r="J34" s="6"/>
      <c r="K34" s="6"/>
      <c r="L34" s="8"/>
    </row>
    <row r="35" spans="1:12">
      <c r="B35" t="s">
        <v>19</v>
      </c>
      <c r="C35" s="6"/>
      <c r="D35" s="45">
        <v>4243733</v>
      </c>
      <c r="E35" s="45">
        <v>4243733</v>
      </c>
      <c r="F35" s="45">
        <v>4243733</v>
      </c>
      <c r="G35" s="45">
        <v>4243733</v>
      </c>
      <c r="H35" s="45">
        <v>4243733</v>
      </c>
      <c r="I35" s="45">
        <v>4243733</v>
      </c>
      <c r="J35" s="45">
        <v>4243733</v>
      </c>
      <c r="K35" s="6"/>
      <c r="L35" s="6"/>
    </row>
    <row r="36" spans="1:12">
      <c r="B36" t="s">
        <v>95</v>
      </c>
      <c r="C36" s="6"/>
      <c r="D36" s="45">
        <v>375000</v>
      </c>
      <c r="E36" s="45">
        <v>375000</v>
      </c>
      <c r="F36" s="45">
        <v>375000</v>
      </c>
      <c r="G36" s="45">
        <v>375000</v>
      </c>
      <c r="H36" s="45">
        <v>375000</v>
      </c>
      <c r="I36" s="45">
        <v>375000</v>
      </c>
      <c r="J36" s="45">
        <v>375000</v>
      </c>
      <c r="K36" s="6"/>
      <c r="L36" s="6"/>
    </row>
    <row r="37" spans="1:12">
      <c r="B37" t="s">
        <v>96</v>
      </c>
      <c r="C37" s="6"/>
      <c r="D37" s="45">
        <v>400000</v>
      </c>
      <c r="E37" s="45">
        <v>400000</v>
      </c>
      <c r="F37" s="45">
        <v>400000</v>
      </c>
      <c r="G37" s="45">
        <v>400000</v>
      </c>
      <c r="H37" s="45">
        <v>400000</v>
      </c>
      <c r="I37" s="45">
        <v>400000</v>
      </c>
      <c r="J37" s="45">
        <v>400000</v>
      </c>
      <c r="K37" s="6"/>
      <c r="L37" s="6"/>
    </row>
    <row r="38" spans="1:12">
      <c r="B38" t="s">
        <v>97</v>
      </c>
      <c r="C38" s="6"/>
      <c r="D38" s="45">
        <f>SUM(D36:D37)</f>
        <v>775000</v>
      </c>
      <c r="E38" s="45">
        <f t="shared" ref="E38:J38" si="5">SUM(E36:E37)</f>
        <v>775000</v>
      </c>
      <c r="F38" s="45">
        <f t="shared" si="5"/>
        <v>775000</v>
      </c>
      <c r="G38" s="45">
        <f t="shared" si="5"/>
        <v>775000</v>
      </c>
      <c r="H38" s="45">
        <f t="shared" si="5"/>
        <v>775000</v>
      </c>
      <c r="I38" s="45">
        <f t="shared" si="5"/>
        <v>775000</v>
      </c>
      <c r="J38" s="45">
        <f t="shared" si="5"/>
        <v>775000</v>
      </c>
      <c r="K38" s="6"/>
      <c r="L38" s="8"/>
    </row>
    <row r="39" spans="1:12">
      <c r="B39" t="s">
        <v>98</v>
      </c>
      <c r="C39" s="6"/>
      <c r="D39" s="45">
        <f>D21*(F8*1000000)</f>
        <v>850000</v>
      </c>
      <c r="E39" s="45">
        <f t="shared" ref="E39:J39" si="6">D39</f>
        <v>850000</v>
      </c>
      <c r="F39" s="45">
        <f t="shared" si="6"/>
        <v>850000</v>
      </c>
      <c r="G39" s="45">
        <f t="shared" si="6"/>
        <v>850000</v>
      </c>
      <c r="H39" s="45">
        <f t="shared" si="6"/>
        <v>850000</v>
      </c>
      <c r="I39" s="45">
        <f t="shared" si="6"/>
        <v>850000</v>
      </c>
      <c r="J39" s="45">
        <f t="shared" si="6"/>
        <v>850000</v>
      </c>
      <c r="K39" s="6"/>
      <c r="L39" s="6"/>
    </row>
    <row r="40" spans="1:12">
      <c r="B40" t="s">
        <v>99</v>
      </c>
      <c r="C40" s="6"/>
      <c r="D40" s="45">
        <v>50000</v>
      </c>
      <c r="E40" s="6">
        <f t="shared" ref="E40:J40" si="7">D40</f>
        <v>50000</v>
      </c>
      <c r="F40" s="6">
        <f t="shared" si="7"/>
        <v>50000</v>
      </c>
      <c r="G40" s="6">
        <f t="shared" si="7"/>
        <v>50000</v>
      </c>
      <c r="H40" s="6">
        <f t="shared" si="7"/>
        <v>50000</v>
      </c>
      <c r="I40" s="6">
        <f t="shared" si="7"/>
        <v>50000</v>
      </c>
      <c r="J40" s="6">
        <f t="shared" si="7"/>
        <v>50000</v>
      </c>
      <c r="K40" s="6"/>
      <c r="L40" s="6"/>
    </row>
    <row r="41" spans="1:12">
      <c r="B41" t="s">
        <v>42</v>
      </c>
      <c r="C41" s="6"/>
      <c r="D41" s="45">
        <f>SUM(D36:D40)</f>
        <v>2450000</v>
      </c>
      <c r="E41" s="45">
        <f t="shared" ref="E41:J41" si="8">SUM(E36:E40)</f>
        <v>2450000</v>
      </c>
      <c r="F41" s="45">
        <f t="shared" si="8"/>
        <v>2450000</v>
      </c>
      <c r="G41" s="45">
        <f t="shared" si="8"/>
        <v>2450000</v>
      </c>
      <c r="H41" s="45">
        <f t="shared" si="8"/>
        <v>2450000</v>
      </c>
      <c r="I41" s="45">
        <f t="shared" si="8"/>
        <v>2450000</v>
      </c>
      <c r="J41" s="45">
        <f t="shared" si="8"/>
        <v>2450000</v>
      </c>
      <c r="K41" s="6"/>
      <c r="L41" s="6"/>
    </row>
    <row r="42" spans="1:12">
      <c r="A42" s="15"/>
      <c r="B42" s="52" t="s">
        <v>10</v>
      </c>
      <c r="C42" s="45"/>
      <c r="D42" s="45">
        <f>D35-D41</f>
        <v>1793733</v>
      </c>
      <c r="E42" s="45">
        <f t="shared" ref="E42:J42" si="9">E35-E41</f>
        <v>1793733</v>
      </c>
      <c r="F42" s="45">
        <f t="shared" si="9"/>
        <v>1793733</v>
      </c>
      <c r="G42" s="45">
        <f t="shared" si="9"/>
        <v>1793733</v>
      </c>
      <c r="H42" s="45">
        <f t="shared" si="9"/>
        <v>1793733</v>
      </c>
      <c r="I42" s="45">
        <f t="shared" si="9"/>
        <v>1793733</v>
      </c>
      <c r="J42" s="45">
        <f t="shared" si="9"/>
        <v>1793733</v>
      </c>
      <c r="K42" s="45"/>
      <c r="L42" s="45"/>
    </row>
    <row r="43" spans="1:12">
      <c r="B43" t="s">
        <v>11</v>
      </c>
      <c r="C43" s="6"/>
      <c r="D43" s="45">
        <f t="shared" ref="D43" si="10">F13</f>
        <v>1255000</v>
      </c>
      <c r="E43" s="45">
        <f t="shared" ref="E43:J43" si="11">D43</f>
        <v>1255000</v>
      </c>
      <c r="F43" s="45">
        <f t="shared" si="11"/>
        <v>1255000</v>
      </c>
      <c r="G43" s="45">
        <f t="shared" si="11"/>
        <v>1255000</v>
      </c>
      <c r="H43" s="45">
        <f t="shared" si="11"/>
        <v>1255000</v>
      </c>
      <c r="I43" s="45">
        <f t="shared" si="11"/>
        <v>1255000</v>
      </c>
      <c r="J43" s="45">
        <f t="shared" si="11"/>
        <v>1255000</v>
      </c>
      <c r="K43" s="6"/>
      <c r="L43" s="6"/>
    </row>
    <row r="44" spans="1:12">
      <c r="B44" t="s">
        <v>100</v>
      </c>
      <c r="C44" s="6"/>
      <c r="D44" s="45">
        <f>D42-D43</f>
        <v>538733</v>
      </c>
      <c r="E44" s="45">
        <f t="shared" ref="E44:J44" si="12">E42-E43</f>
        <v>538733</v>
      </c>
      <c r="F44" s="45">
        <f t="shared" si="12"/>
        <v>538733</v>
      </c>
      <c r="G44" s="45">
        <f t="shared" si="12"/>
        <v>538733</v>
      </c>
      <c r="H44" s="45">
        <f t="shared" si="12"/>
        <v>538733</v>
      </c>
      <c r="I44" s="45">
        <f t="shared" si="12"/>
        <v>538733</v>
      </c>
      <c r="J44" s="45">
        <f t="shared" si="12"/>
        <v>538733</v>
      </c>
      <c r="K44" s="6"/>
      <c r="L44" s="6"/>
    </row>
    <row r="45" spans="1:12">
      <c r="A45" s="15"/>
      <c r="B45" s="15" t="s">
        <v>78</v>
      </c>
      <c r="C45" s="45"/>
      <c r="D45" s="45">
        <f>D65</f>
        <v>100000</v>
      </c>
      <c r="E45" s="45">
        <f t="shared" ref="E45:J45" si="13">E65</f>
        <v>83333.333333333343</v>
      </c>
      <c r="F45" s="45">
        <f t="shared" si="13"/>
        <v>66666.666666666672</v>
      </c>
      <c r="G45" s="45">
        <f t="shared" si="13"/>
        <v>50000.000000000015</v>
      </c>
      <c r="H45" s="45">
        <f t="shared" si="13"/>
        <v>33333.33333333335</v>
      </c>
      <c r="I45" s="45">
        <f t="shared" si="13"/>
        <v>16666.666666666682</v>
      </c>
      <c r="J45" s="45">
        <f t="shared" si="13"/>
        <v>0</v>
      </c>
      <c r="K45" s="45"/>
      <c r="L45" s="45"/>
    </row>
    <row r="46" spans="1:12">
      <c r="A46" s="15"/>
      <c r="B46" t="s">
        <v>13</v>
      </c>
      <c r="C46" s="45"/>
      <c r="D46" s="45">
        <f>D44-D45</f>
        <v>438733</v>
      </c>
      <c r="E46" s="45">
        <f t="shared" ref="E46:J46" si="14">E44-E45</f>
        <v>455399.66666666663</v>
      </c>
      <c r="F46" s="45">
        <f t="shared" si="14"/>
        <v>472066.33333333331</v>
      </c>
      <c r="G46" s="45">
        <f t="shared" si="14"/>
        <v>488733</v>
      </c>
      <c r="H46" s="45">
        <f t="shared" si="14"/>
        <v>505399.66666666663</v>
      </c>
      <c r="I46" s="45">
        <f t="shared" si="14"/>
        <v>522066.33333333331</v>
      </c>
      <c r="J46" s="45">
        <f t="shared" si="14"/>
        <v>538733</v>
      </c>
      <c r="K46" s="45"/>
      <c r="L46" s="45"/>
    </row>
    <row r="47" spans="1:12">
      <c r="B47" t="s">
        <v>12</v>
      </c>
      <c r="C47" s="6"/>
      <c r="D47" s="45">
        <v>0</v>
      </c>
      <c r="E47" s="6">
        <f t="shared" ref="E47:J47" si="15">D47</f>
        <v>0</v>
      </c>
      <c r="F47" s="6">
        <f t="shared" si="15"/>
        <v>0</v>
      </c>
      <c r="G47" s="6">
        <f t="shared" si="15"/>
        <v>0</v>
      </c>
      <c r="H47" s="6">
        <f t="shared" si="15"/>
        <v>0</v>
      </c>
      <c r="I47" s="6">
        <f t="shared" si="15"/>
        <v>0</v>
      </c>
      <c r="J47" s="6">
        <f t="shared" si="15"/>
        <v>0</v>
      </c>
      <c r="K47" s="6"/>
      <c r="L47" s="6"/>
    </row>
    <row r="48" spans="1:12">
      <c r="B48" s="46" t="s">
        <v>101</v>
      </c>
      <c r="C48" s="6"/>
      <c r="D48" s="45">
        <f>D46-D47</f>
        <v>438733</v>
      </c>
      <c r="E48" s="45">
        <f t="shared" ref="E48:J48" si="16">E46-E47</f>
        <v>455399.66666666663</v>
      </c>
      <c r="F48" s="45">
        <f t="shared" si="16"/>
        <v>472066.33333333331</v>
      </c>
      <c r="G48" s="45">
        <f t="shared" si="16"/>
        <v>488733</v>
      </c>
      <c r="H48" s="45">
        <f t="shared" si="16"/>
        <v>505399.66666666663</v>
      </c>
      <c r="I48" s="45">
        <f t="shared" si="16"/>
        <v>522066.33333333331</v>
      </c>
      <c r="J48" s="45">
        <f t="shared" si="16"/>
        <v>538733</v>
      </c>
      <c r="K48" s="6"/>
      <c r="L48" s="6"/>
    </row>
    <row r="49" spans="1:13">
      <c r="B49" t="s">
        <v>115</v>
      </c>
      <c r="C49" s="6"/>
      <c r="D49" s="45">
        <f>0.25*D48</f>
        <v>109683.25</v>
      </c>
      <c r="E49" s="45">
        <f t="shared" ref="E49:J49" si="17">0.25*E48</f>
        <v>113849.91666666666</v>
      </c>
      <c r="F49" s="45">
        <f t="shared" si="17"/>
        <v>118016.58333333333</v>
      </c>
      <c r="G49" s="45">
        <f t="shared" si="17"/>
        <v>122183.25</v>
      </c>
      <c r="H49" s="45">
        <f t="shared" si="17"/>
        <v>126349.91666666666</v>
      </c>
      <c r="I49" s="45">
        <f t="shared" si="17"/>
        <v>130516.58333333333</v>
      </c>
      <c r="J49" s="45">
        <f t="shared" si="17"/>
        <v>134683.25</v>
      </c>
      <c r="L49" s="6"/>
    </row>
    <row r="50" spans="1:13">
      <c r="B50" t="s">
        <v>103</v>
      </c>
      <c r="C50" s="6"/>
      <c r="D50" s="45">
        <f>D48-D49</f>
        <v>329049.75</v>
      </c>
      <c r="E50" s="45">
        <f t="shared" ref="E50:J50" si="18">E48-E49</f>
        <v>341549.75</v>
      </c>
      <c r="F50" s="45">
        <f t="shared" si="18"/>
        <v>354049.75</v>
      </c>
      <c r="G50" s="45">
        <f t="shared" si="18"/>
        <v>366549.75</v>
      </c>
      <c r="H50" s="45">
        <f t="shared" si="18"/>
        <v>379049.75</v>
      </c>
      <c r="I50" s="45">
        <f t="shared" si="18"/>
        <v>391549.75</v>
      </c>
      <c r="J50" s="45">
        <f t="shared" si="18"/>
        <v>404049.75</v>
      </c>
      <c r="L50" s="6"/>
    </row>
    <row r="51" spans="1:13">
      <c r="B51" t="s">
        <v>16</v>
      </c>
      <c r="C51" s="6"/>
      <c r="D51" s="45">
        <f>D43+D47+D50</f>
        <v>1584049.75</v>
      </c>
      <c r="E51" s="45">
        <f t="shared" ref="E51:J51" si="19">E43+E47+E50</f>
        <v>1596549.75</v>
      </c>
      <c r="F51" s="45">
        <f t="shared" si="19"/>
        <v>1609049.75</v>
      </c>
      <c r="G51" s="45">
        <f t="shared" si="19"/>
        <v>1621549.75</v>
      </c>
      <c r="H51" s="45">
        <f t="shared" si="19"/>
        <v>1634049.75</v>
      </c>
      <c r="I51" s="45">
        <f t="shared" si="19"/>
        <v>1646549.75</v>
      </c>
      <c r="J51" s="45">
        <f t="shared" si="19"/>
        <v>1659049.75</v>
      </c>
      <c r="K51" s="6"/>
      <c r="L51" s="6"/>
    </row>
    <row r="52" spans="1:13">
      <c r="B52" s="46" t="s">
        <v>18</v>
      </c>
      <c r="C52" s="6">
        <f>-C27</f>
        <v>0</v>
      </c>
      <c r="D52" s="45">
        <f>D25+D51</f>
        <v>-3815950.25</v>
      </c>
      <c r="E52" s="45">
        <f>E25+E51</f>
        <v>1096549.75</v>
      </c>
      <c r="F52" s="45">
        <f t="shared" ref="F52:J52" si="20">F51</f>
        <v>1609049.75</v>
      </c>
      <c r="G52" s="45">
        <f t="shared" si="20"/>
        <v>1621549.75</v>
      </c>
      <c r="H52" s="45">
        <f t="shared" si="20"/>
        <v>1634049.75</v>
      </c>
      <c r="I52" s="45">
        <f t="shared" si="20"/>
        <v>1646549.75</v>
      </c>
      <c r="J52" s="45">
        <f t="shared" si="20"/>
        <v>1659049.75</v>
      </c>
      <c r="K52" s="6"/>
      <c r="L52" s="6"/>
    </row>
    <row r="53" spans="1:13">
      <c r="C53" s="6"/>
      <c r="D53" s="45"/>
      <c r="E53" s="6"/>
      <c r="F53" s="6"/>
      <c r="G53" s="6"/>
      <c r="H53" s="6"/>
      <c r="L53" s="8"/>
    </row>
    <row r="54" spans="1:13">
      <c r="B54" s="28" t="s">
        <v>110</v>
      </c>
      <c r="C54" s="6"/>
      <c r="D54" s="45">
        <f>F15</f>
        <v>7</v>
      </c>
      <c r="E54" s="6">
        <f t="shared" ref="E54" si="21">D54+F16</f>
        <v>7.25</v>
      </c>
      <c r="F54" s="6">
        <f>E54+F16</f>
        <v>7.5</v>
      </c>
      <c r="G54" s="6">
        <f>F54+F16</f>
        <v>7.75</v>
      </c>
      <c r="H54" s="6">
        <f>G54+F16</f>
        <v>8</v>
      </c>
      <c r="I54" s="6">
        <f>H54+F16</f>
        <v>8.25</v>
      </c>
      <c r="J54" s="6">
        <f>I54+F16</f>
        <v>8.5</v>
      </c>
      <c r="K54" s="6"/>
      <c r="L54" s="6"/>
    </row>
    <row r="55" spans="1:13">
      <c r="B55" t="s">
        <v>104</v>
      </c>
      <c r="C55" s="6"/>
      <c r="D55" s="45">
        <f>D52</f>
        <v>-3815950.25</v>
      </c>
      <c r="E55" s="6">
        <f>E52/(POWER((1+(E54/100)),1))</f>
        <v>1022424.0093240093</v>
      </c>
      <c r="F55" s="6">
        <f>F52/(POWER((1+(F54/100)),2))</f>
        <v>1392363.2233639807</v>
      </c>
      <c r="G55" s="6">
        <f>G52/(POWER((1+(G54/100)),3))</f>
        <v>1296219.1732257421</v>
      </c>
      <c r="H55" s="6">
        <f>H52/(POWER((1+(H54/100)),4))</f>
        <v>1201075.3472045811</v>
      </c>
      <c r="I55" s="6">
        <f>I52/(POWER((1+(I54/100)),5))</f>
        <v>1107733.6080983421</v>
      </c>
      <c r="J55" s="6">
        <f>J52/(POWER((1+(J54/100)),6))</f>
        <v>1016906.3993044464</v>
      </c>
      <c r="L55" s="6"/>
      <c r="M55" s="6"/>
    </row>
    <row r="56" spans="1:13">
      <c r="B56" s="46" t="s">
        <v>1</v>
      </c>
      <c r="C56" s="6"/>
      <c r="D56" s="45">
        <f>NPV(0,D55)</f>
        <v>-3815950.25</v>
      </c>
      <c r="E56" s="45">
        <f>D56+E55</f>
        <v>-2793526.2406759905</v>
      </c>
      <c r="F56" s="45">
        <f>E56+F55</f>
        <v>-1401163.0173120098</v>
      </c>
      <c r="G56" s="45">
        <f>F56+G55</f>
        <v>-104943.84408626775</v>
      </c>
      <c r="H56" s="45">
        <f>G56+H55</f>
        <v>1096131.5031183134</v>
      </c>
      <c r="I56" s="45">
        <f t="shared" ref="I56:J56" si="22">H56+I55</f>
        <v>2203865.1112166555</v>
      </c>
      <c r="J56" s="45">
        <f t="shared" si="22"/>
        <v>3220771.5105211018</v>
      </c>
    </row>
    <row r="57" spans="1:13">
      <c r="B57" s="15"/>
      <c r="C57" s="45"/>
      <c r="D57" s="45"/>
      <c r="E57" s="45"/>
      <c r="F57" s="45"/>
      <c r="G57" s="45"/>
      <c r="H57" s="45"/>
    </row>
    <row r="58" spans="1:13">
      <c r="I58" s="11" t="s">
        <v>1</v>
      </c>
      <c r="J58" s="31">
        <f>NPV(0.07,E55:J55)+D55</f>
        <v>1797532.1858511288</v>
      </c>
    </row>
    <row r="59" spans="1:13">
      <c r="B59" s="35" t="s">
        <v>108</v>
      </c>
      <c r="C59" s="6">
        <f>C60/6</f>
        <v>333333.33333333331</v>
      </c>
      <c r="I59" s="11" t="s">
        <v>0</v>
      </c>
      <c r="J59" s="32">
        <f>IRR(D55:G55)</f>
        <v>-1.3330706375663305E-2</v>
      </c>
    </row>
    <row r="60" spans="1:13">
      <c r="A60" s="15"/>
      <c r="B60" s="38" t="s">
        <v>105</v>
      </c>
      <c r="C60" s="6">
        <f>I12</f>
        <v>2000000</v>
      </c>
      <c r="D60" s="35"/>
      <c r="E60" s="35"/>
    </row>
    <row r="61" spans="1:13">
      <c r="B61" s="35" t="s">
        <v>75</v>
      </c>
      <c r="C61" s="35">
        <f>I13</f>
        <v>0.05</v>
      </c>
      <c r="D61" s="35">
        <f t="shared" ref="D61:J61" si="23">C61</f>
        <v>0.05</v>
      </c>
      <c r="E61" s="35">
        <f t="shared" si="23"/>
        <v>0.05</v>
      </c>
      <c r="F61" s="35">
        <f t="shared" si="23"/>
        <v>0.05</v>
      </c>
      <c r="G61" s="35">
        <f t="shared" si="23"/>
        <v>0.05</v>
      </c>
      <c r="H61" s="35">
        <f t="shared" si="23"/>
        <v>0.05</v>
      </c>
      <c r="I61" s="35">
        <f t="shared" si="23"/>
        <v>0.05</v>
      </c>
      <c r="J61" s="35">
        <f t="shared" si="23"/>
        <v>0.05</v>
      </c>
      <c r="K61" s="15"/>
      <c r="L61" s="15"/>
    </row>
    <row r="62" spans="1:13">
      <c r="B62" s="35" t="s">
        <v>77</v>
      </c>
      <c r="C62" s="36">
        <v>0</v>
      </c>
      <c r="D62" s="44">
        <v>2016</v>
      </c>
      <c r="E62" s="44">
        <v>2017</v>
      </c>
      <c r="F62" s="44">
        <v>2018</v>
      </c>
      <c r="G62" s="44">
        <v>2019</v>
      </c>
      <c r="H62" s="44">
        <v>2020</v>
      </c>
      <c r="I62" s="44">
        <v>2021</v>
      </c>
      <c r="J62" s="44">
        <v>2022</v>
      </c>
      <c r="K62" s="47"/>
      <c r="L62" s="15"/>
    </row>
    <row r="63" spans="1:13">
      <c r="B63" s="35" t="s">
        <v>79</v>
      </c>
      <c r="C63" s="17">
        <f>C60</f>
        <v>2000000</v>
      </c>
      <c r="D63" s="17">
        <f>C60</f>
        <v>2000000</v>
      </c>
      <c r="E63" s="17">
        <f>D63-E64</f>
        <v>1666666.6666666667</v>
      </c>
      <c r="F63" s="17">
        <f t="shared" ref="F63:J63" si="24">E63-F64</f>
        <v>1333333.3333333335</v>
      </c>
      <c r="G63" s="17">
        <f t="shared" si="24"/>
        <v>1000000.0000000002</v>
      </c>
      <c r="H63" s="17">
        <f t="shared" si="24"/>
        <v>666666.66666666698</v>
      </c>
      <c r="I63" s="17">
        <f t="shared" si="24"/>
        <v>333333.33333333366</v>
      </c>
      <c r="J63" s="17">
        <f t="shared" si="24"/>
        <v>0</v>
      </c>
      <c r="K63" s="47"/>
      <c r="L63" s="15"/>
    </row>
    <row r="64" spans="1:13">
      <c r="B64" s="35" t="s">
        <v>82</v>
      </c>
      <c r="C64" s="17" t="s">
        <v>76</v>
      </c>
      <c r="D64" s="17"/>
      <c r="E64" s="17">
        <f>C59</f>
        <v>333333.33333333331</v>
      </c>
      <c r="F64" s="17">
        <f t="shared" ref="F64:J64" si="25">E64</f>
        <v>333333.33333333331</v>
      </c>
      <c r="G64" s="17">
        <f t="shared" si="25"/>
        <v>333333.33333333331</v>
      </c>
      <c r="H64" s="17">
        <f t="shared" si="25"/>
        <v>333333.33333333331</v>
      </c>
      <c r="I64" s="17">
        <f t="shared" si="25"/>
        <v>333333.33333333331</v>
      </c>
      <c r="J64" s="17">
        <f t="shared" si="25"/>
        <v>333333.33333333331</v>
      </c>
      <c r="K64" s="49"/>
      <c r="L64" s="15"/>
    </row>
    <row r="65" spans="2:12">
      <c r="B65" s="35" t="s">
        <v>78</v>
      </c>
      <c r="C65" s="6"/>
      <c r="D65" s="17">
        <f>D63*D61</f>
        <v>100000</v>
      </c>
      <c r="E65" s="17">
        <f>E63*E61</f>
        <v>83333.333333333343</v>
      </c>
      <c r="F65" s="17">
        <f>F63*F61</f>
        <v>66666.666666666672</v>
      </c>
      <c r="G65" s="17">
        <f t="shared" ref="G65:J65" si="26">G63*G61</f>
        <v>50000.000000000015</v>
      </c>
      <c r="H65" s="17">
        <f t="shared" si="26"/>
        <v>33333.33333333335</v>
      </c>
      <c r="I65" s="17">
        <f t="shared" si="26"/>
        <v>16666.666666666682</v>
      </c>
      <c r="J65" s="17">
        <f t="shared" si="26"/>
        <v>0</v>
      </c>
      <c r="K65" s="49"/>
      <c r="L65" s="15"/>
    </row>
    <row r="66" spans="2:12">
      <c r="B66" s="35" t="s">
        <v>81</v>
      </c>
      <c r="C66" s="40">
        <f>-C31</f>
        <v>0</v>
      </c>
      <c r="D66" s="17">
        <f>SUM(D64:D65)</f>
        <v>100000</v>
      </c>
      <c r="E66" s="17">
        <f t="shared" ref="E66:J66" si="27">SUM(E64:E65)</f>
        <v>416666.66666666663</v>
      </c>
      <c r="F66" s="17">
        <f t="shared" si="27"/>
        <v>400000</v>
      </c>
      <c r="G66" s="17">
        <f t="shared" si="27"/>
        <v>383333.33333333331</v>
      </c>
      <c r="H66" s="17">
        <f t="shared" si="27"/>
        <v>366666.66666666669</v>
      </c>
      <c r="I66" s="17">
        <f t="shared" si="27"/>
        <v>350000</v>
      </c>
      <c r="J66" s="17">
        <f t="shared" si="27"/>
        <v>333333.33333333331</v>
      </c>
      <c r="K66" s="49"/>
      <c r="L66" s="15"/>
    </row>
    <row r="67" spans="2:12">
      <c r="B67" s="35"/>
      <c r="C67" s="6"/>
      <c r="D67" s="17"/>
      <c r="E67" s="17"/>
      <c r="F67" s="17"/>
      <c r="G67" s="17"/>
      <c r="H67" s="17"/>
      <c r="I67" s="17"/>
      <c r="J67" s="49"/>
      <c r="K67" s="15"/>
      <c r="L67" s="15"/>
    </row>
    <row r="68" spans="2:12">
      <c r="B68" s="35"/>
      <c r="C68" s="6"/>
      <c r="D68" s="6"/>
      <c r="E68" s="6"/>
      <c r="F68" s="6"/>
      <c r="G68" s="6"/>
      <c r="H68" s="6"/>
      <c r="I68" s="6"/>
      <c r="J68" s="45"/>
      <c r="K68" s="15"/>
      <c r="L68" s="15"/>
    </row>
    <row r="69" spans="2:12">
      <c r="B69" s="35" t="s">
        <v>12</v>
      </c>
    </row>
  </sheetData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Hoja1</vt:lpstr>
      <vt:lpstr>Hoja2</vt:lpstr>
      <vt:lpstr>Hoja3</vt:lpstr>
      <vt:lpstr>Hoja4</vt:lpstr>
      <vt:lpstr>Hoja5</vt:lpstr>
      <vt:lpstr>Hoja6</vt:lpstr>
      <vt:lpstr>Hoja7</vt:lpstr>
      <vt:lpstr>Hoja3!Área_de_impresión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Santos</dc:creator>
  <cp:lastModifiedBy>Administrador</cp:lastModifiedBy>
  <cp:lastPrinted>2017-06-01T13:02:20Z</cp:lastPrinted>
  <dcterms:created xsi:type="dcterms:W3CDTF">2017-05-20T08:55:30Z</dcterms:created>
  <dcterms:modified xsi:type="dcterms:W3CDTF">2017-06-01T13:04:05Z</dcterms:modified>
</cp:coreProperties>
</file>